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nationalh-my.sharepoint.com/personal/csynovec_nhchc_org/Documents/Respite Documents + Revisions/Draft revisions in process/Models of Care and Supplemental Resources/"/>
    </mc:Choice>
  </mc:AlternateContent>
  <xr:revisionPtr revIDLastSave="46" documentId="13_ncr:1_{F654D28B-1B45-47C9-992A-ACD12909C48D}" xr6:coauthVersionLast="47" xr6:coauthVersionMax="47" xr10:uidLastSave="{E71CA32D-46D3-4BB9-91AE-157AE4A47D18}"/>
  <bookViews>
    <workbookView xWindow="-110" yWindow="-110" windowWidth="19420" windowHeight="10420" tabRatio="764" firstSheet="2" activeTab="7" xr2:uid="{00000000-000D-0000-FFFF-FFFF00000000}"/>
  </bookViews>
  <sheets>
    <sheet name="1. About the Service BudgetTool" sheetId="8" r:id="rId1"/>
    <sheet name="2. Budget Summary Output" sheetId="2" r:id="rId2"/>
    <sheet name="3. Basic Input &amp; Assumptions" sheetId="19" r:id="rId3"/>
    <sheet name="4. Coordinated Care" sheetId="10" r:id="rId4"/>
    <sheet name="5. Coordinated Clinical" sheetId="9" r:id="rId5"/>
    <sheet name="6. Collaborative Clinical" sheetId="11" state="hidden" r:id="rId6"/>
    <sheet name="6. Integrated Clinical" sheetId="12" r:id="rId7"/>
    <sheet name="7. Comprehensive Clinical" sheetId="24" r:id="rId8"/>
    <sheet name="8. General Start Up Cost" sheetId="2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9" i="23" l="1"/>
  <c r="F46" i="23"/>
  <c r="F45" i="23"/>
  <c r="F37" i="23"/>
  <c r="F48" i="23"/>
  <c r="F47" i="23"/>
  <c r="I64" i="24"/>
  <c r="I61" i="24"/>
  <c r="I51" i="24"/>
  <c r="I40" i="24"/>
  <c r="I39" i="24"/>
  <c r="D54" i="12"/>
  <c r="I65" i="12"/>
  <c r="I62" i="12"/>
  <c r="I52" i="12"/>
  <c r="I41" i="12"/>
  <c r="I40" i="12"/>
  <c r="I61" i="9"/>
  <c r="I58" i="9"/>
  <c r="I48" i="9"/>
  <c r="I37" i="9"/>
  <c r="I36" i="9"/>
  <c r="H20" i="9"/>
  <c r="H21" i="9"/>
  <c r="H22" i="9"/>
  <c r="H23" i="9"/>
  <c r="H24" i="9"/>
  <c r="H25" i="9"/>
  <c r="J60" i="10"/>
  <c r="J62" i="10"/>
  <c r="J49" i="10"/>
  <c r="J37" i="10"/>
  <c r="J36" i="10"/>
  <c r="F10" i="2"/>
  <c r="D10" i="2"/>
  <c r="H29" i="24"/>
  <c r="H28" i="24"/>
  <c r="H27" i="24"/>
  <c r="H26" i="24"/>
  <c r="H25" i="24"/>
  <c r="H24" i="24"/>
  <c r="H23" i="24"/>
  <c r="H22" i="24"/>
  <c r="H21" i="24"/>
  <c r="H20" i="24"/>
  <c r="H29" i="12"/>
  <c r="H28" i="12"/>
  <c r="H27" i="12"/>
  <c r="H26" i="12"/>
  <c r="H25" i="12"/>
  <c r="H24" i="12"/>
  <c r="H23" i="12"/>
  <c r="H22" i="12"/>
  <c r="H21" i="12"/>
  <c r="H20" i="12"/>
  <c r="H25" i="10"/>
  <c r="H26" i="10"/>
  <c r="H27" i="10"/>
  <c r="H28" i="10"/>
  <c r="H24" i="10"/>
  <c r="H29" i="10" l="1"/>
  <c r="H30" i="24"/>
  <c r="D73" i="24" s="1"/>
  <c r="H30" i="12"/>
  <c r="D74" i="12" s="1"/>
  <c r="D70" i="10"/>
  <c r="D38" i="12"/>
  <c r="I38" i="12" s="1"/>
  <c r="G10" i="2"/>
  <c r="G6" i="2"/>
  <c r="D48" i="11"/>
  <c r="D37" i="24"/>
  <c r="I37" i="24" s="1"/>
  <c r="F6" i="2"/>
  <c r="E10" i="2"/>
  <c r="J13" i="12"/>
  <c r="D13" i="11"/>
  <c r="D31" i="11"/>
  <c r="D34" i="10"/>
  <c r="J34" i="10" s="1"/>
  <c r="E6" i="2" l="1"/>
  <c r="D41" i="11"/>
  <c r="G83" i="24"/>
  <c r="H79" i="24"/>
  <c r="D79" i="24"/>
  <c r="I79" i="24" s="1"/>
  <c r="I78" i="24"/>
  <c r="J78" i="24" s="1"/>
  <c r="I77" i="24"/>
  <c r="J77" i="24" s="1"/>
  <c r="K77" i="24" s="1"/>
  <c r="I76" i="24"/>
  <c r="J76" i="24" s="1"/>
  <c r="I75" i="24"/>
  <c r="J75" i="24" s="1"/>
  <c r="K75" i="24" s="1"/>
  <c r="I74" i="24"/>
  <c r="J74" i="24" s="1"/>
  <c r="I73" i="24"/>
  <c r="J73" i="24" s="1"/>
  <c r="I65" i="24"/>
  <c r="I63" i="24"/>
  <c r="I62" i="24"/>
  <c r="I60" i="24"/>
  <c r="I59" i="24"/>
  <c r="I58" i="24"/>
  <c r="I57" i="24"/>
  <c r="I56" i="24"/>
  <c r="I55" i="24"/>
  <c r="I54" i="24"/>
  <c r="J54" i="24" s="1"/>
  <c r="K54" i="24" s="1"/>
  <c r="G54" i="24"/>
  <c r="K53" i="24"/>
  <c r="J53" i="24"/>
  <c r="I53" i="24"/>
  <c r="G53" i="24"/>
  <c r="D53" i="24"/>
  <c r="D52" i="24" s="1"/>
  <c r="I50" i="24"/>
  <c r="I49" i="24"/>
  <c r="I48" i="24"/>
  <c r="I47" i="24"/>
  <c r="I46" i="24"/>
  <c r="I45" i="24"/>
  <c r="K73" i="24" l="1"/>
  <c r="G73" i="24" s="1"/>
  <c r="J79" i="24"/>
  <c r="J59" i="24"/>
  <c r="K59" i="24" s="1"/>
  <c r="G59" i="24" s="1"/>
  <c r="D41" i="24"/>
  <c r="I41" i="24" s="1"/>
  <c r="G75" i="24"/>
  <c r="J58" i="24"/>
  <c r="K58" i="24" s="1"/>
  <c r="G58" i="24" s="1"/>
  <c r="J60" i="24"/>
  <c r="K60" i="24" s="1"/>
  <c r="J65" i="24"/>
  <c r="K65" i="24" s="1"/>
  <c r="J48" i="24"/>
  <c r="K48" i="24" s="1"/>
  <c r="J56" i="24"/>
  <c r="K56" i="24" s="1"/>
  <c r="J49" i="24"/>
  <c r="K49" i="24" s="1"/>
  <c r="J57" i="24"/>
  <c r="K57" i="24" s="1"/>
  <c r="J62" i="24"/>
  <c r="K62" i="24" s="1"/>
  <c r="G62" i="24" s="1"/>
  <c r="D66" i="24"/>
  <c r="J46" i="24"/>
  <c r="K46" i="24" s="1"/>
  <c r="J63" i="24"/>
  <c r="K63" i="24" s="1"/>
  <c r="J47" i="24"/>
  <c r="K47" i="24" s="1"/>
  <c r="J50" i="24"/>
  <c r="K50" i="24" s="1"/>
  <c r="G77" i="24"/>
  <c r="K74" i="24"/>
  <c r="G74" i="24" s="1"/>
  <c r="K76" i="24"/>
  <c r="G76" i="24" s="1"/>
  <c r="K78" i="24"/>
  <c r="G78" i="24" s="1"/>
  <c r="J45" i="24"/>
  <c r="J55" i="24"/>
  <c r="K55" i="24" s="1"/>
  <c r="K52" i="24" s="1"/>
  <c r="J52" i="24" l="1"/>
  <c r="K79" i="24"/>
  <c r="D38" i="24"/>
  <c r="D42" i="24" s="1"/>
  <c r="D68" i="24" s="1"/>
  <c r="D69" i="24" s="1"/>
  <c r="D70" i="24" s="1"/>
  <c r="D81" i="24" s="1"/>
  <c r="G8" i="2" s="1"/>
  <c r="G63" i="24"/>
  <c r="G65" i="24"/>
  <c r="G48" i="24"/>
  <c r="I52" i="24"/>
  <c r="G55" i="24"/>
  <c r="K45" i="24"/>
  <c r="G15" i="2" l="1"/>
  <c r="G14" i="2"/>
  <c r="G16" i="2"/>
  <c r="G52" i="24"/>
  <c r="G79" i="24"/>
  <c r="J61" i="24" l="1"/>
  <c r="K61" i="24" s="1"/>
  <c r="J64" i="24"/>
  <c r="K64" i="24" s="1"/>
  <c r="J39" i="24"/>
  <c r="K39" i="24" s="1"/>
  <c r="H75" i="11"/>
  <c r="J75" i="11" s="1"/>
  <c r="H62" i="11"/>
  <c r="J62" i="11" s="1"/>
  <c r="H50" i="11"/>
  <c r="J50" i="11" s="1"/>
  <c r="H72" i="11"/>
  <c r="J72" i="11" s="1"/>
  <c r="H48" i="11"/>
  <c r="H49" i="11"/>
  <c r="H51" i="11"/>
  <c r="J51" i="11" s="1"/>
  <c r="G39" i="24" l="1"/>
  <c r="J51" i="24"/>
  <c r="I66" i="24"/>
  <c r="I38" i="24"/>
  <c r="J37" i="24"/>
  <c r="J40" i="24"/>
  <c r="H77" i="11"/>
  <c r="F49" i="23"/>
  <c r="H64" i="24" s="1"/>
  <c r="G64" i="24" s="1"/>
  <c r="F34" i="23"/>
  <c r="F35" i="23"/>
  <c r="F36" i="23"/>
  <c r="F38" i="23"/>
  <c r="F39" i="23"/>
  <c r="F40" i="23"/>
  <c r="F41" i="23"/>
  <c r="F42" i="23"/>
  <c r="F43" i="23"/>
  <c r="F44" i="23"/>
  <c r="F33" i="23"/>
  <c r="F25" i="23"/>
  <c r="H46" i="24" s="1"/>
  <c r="G46" i="24" s="1"/>
  <c r="F26" i="23"/>
  <c r="H47" i="24" s="1"/>
  <c r="G47" i="24" s="1"/>
  <c r="F27" i="23"/>
  <c r="H49" i="24" s="1"/>
  <c r="G49" i="24" s="1"/>
  <c r="F28" i="23"/>
  <c r="H50" i="24" s="1"/>
  <c r="G50" i="24" s="1"/>
  <c r="F29" i="23"/>
  <c r="H56" i="24" s="1"/>
  <c r="G56" i="24" s="1"/>
  <c r="F30" i="23"/>
  <c r="H57" i="24" s="1"/>
  <c r="G57" i="24" s="1"/>
  <c r="F31" i="23"/>
  <c r="H60" i="24" s="1"/>
  <c r="G60" i="24" s="1"/>
  <c r="F24" i="23"/>
  <c r="H45" i="24" s="1"/>
  <c r="F19" i="23"/>
  <c r="F20" i="23"/>
  <c r="F18" i="23"/>
  <c r="F11" i="23"/>
  <c r="F12" i="23"/>
  <c r="F13" i="23"/>
  <c r="F14" i="23"/>
  <c r="F15" i="23"/>
  <c r="F10" i="23"/>
  <c r="H41" i="24" l="1"/>
  <c r="H61" i="24"/>
  <c r="G61" i="24" s="1"/>
  <c r="H40" i="24"/>
  <c r="G45" i="24"/>
  <c r="J38" i="24"/>
  <c r="K37" i="24"/>
  <c r="K51" i="24"/>
  <c r="J66" i="24"/>
  <c r="K40" i="24"/>
  <c r="I60" i="10"/>
  <c r="H66" i="24" l="1"/>
  <c r="H42" i="24"/>
  <c r="G40" i="24"/>
  <c r="K66" i="24"/>
  <c r="G51" i="24"/>
  <c r="K38" i="24"/>
  <c r="G38" i="24" s="1"/>
  <c r="G37" i="24"/>
  <c r="H68" i="24" l="1"/>
  <c r="H69" i="24" s="1"/>
  <c r="H70" i="24" s="1"/>
  <c r="H81" i="24" s="1"/>
  <c r="G66" i="24"/>
  <c r="G55" i="12"/>
  <c r="G54" i="12"/>
  <c r="G65" i="11"/>
  <c r="G64" i="11"/>
  <c r="G51" i="9"/>
  <c r="G50" i="9"/>
  <c r="H41" i="12"/>
  <c r="H42" i="12"/>
  <c r="H46" i="12"/>
  <c r="H47" i="12"/>
  <c r="H48" i="12"/>
  <c r="H50" i="12"/>
  <c r="H51" i="12"/>
  <c r="H57" i="12"/>
  <c r="H58" i="12"/>
  <c r="H61" i="12"/>
  <c r="H62" i="12"/>
  <c r="H65" i="12"/>
  <c r="I74" i="12"/>
  <c r="J74" i="12" s="1"/>
  <c r="D90" i="11"/>
  <c r="J90" i="11" s="1"/>
  <c r="D80" i="12"/>
  <c r="I80" i="12" s="1"/>
  <c r="I51" i="11"/>
  <c r="I52" i="11"/>
  <c r="H53" i="10"/>
  <c r="H52" i="10"/>
  <c r="I56" i="11"/>
  <c r="I57" i="11"/>
  <c r="I58" i="11"/>
  <c r="I60" i="11"/>
  <c r="I61" i="11"/>
  <c r="I67" i="11"/>
  <c r="I68" i="11"/>
  <c r="I71" i="11"/>
  <c r="I72" i="11"/>
  <c r="I75" i="11"/>
  <c r="J84" i="11"/>
  <c r="K84" i="11" s="1"/>
  <c r="L84" i="11" s="1"/>
  <c r="I71" i="9"/>
  <c r="J71" i="9" s="1"/>
  <c r="I72" i="9"/>
  <c r="J72" i="9" s="1"/>
  <c r="I73" i="9"/>
  <c r="J73" i="9" s="1"/>
  <c r="K73" i="9" s="1"/>
  <c r="I74" i="9"/>
  <c r="J74" i="9" s="1"/>
  <c r="K74" i="9" s="1"/>
  <c r="G74" i="9" s="1"/>
  <c r="D50" i="9"/>
  <c r="D51" i="9"/>
  <c r="G80" i="9"/>
  <c r="J50" i="9"/>
  <c r="J51" i="9"/>
  <c r="K50" i="9"/>
  <c r="K51" i="9"/>
  <c r="J70" i="10"/>
  <c r="K70" i="10" s="1"/>
  <c r="D75" i="9"/>
  <c r="D76" i="10"/>
  <c r="J76" i="10" s="1"/>
  <c r="H37" i="9"/>
  <c r="H38" i="9"/>
  <c r="H42" i="9"/>
  <c r="H43" i="9"/>
  <c r="H44" i="9"/>
  <c r="H46" i="9"/>
  <c r="H47" i="9"/>
  <c r="H53" i="9"/>
  <c r="H54" i="9"/>
  <c r="H57" i="9"/>
  <c r="H58" i="9"/>
  <c r="H61" i="9"/>
  <c r="F50" i="23"/>
  <c r="I61" i="10"/>
  <c r="I62" i="10"/>
  <c r="I59" i="10"/>
  <c r="I56" i="10"/>
  <c r="I55" i="10"/>
  <c r="I48" i="10"/>
  <c r="I46" i="10"/>
  <c r="I44" i="10"/>
  <c r="I43" i="10"/>
  <c r="I42" i="10"/>
  <c r="I38" i="10"/>
  <c r="I37" i="10"/>
  <c r="D52" i="10"/>
  <c r="D53" i="10"/>
  <c r="J71" i="10"/>
  <c r="K71" i="10" s="1"/>
  <c r="L71" i="10" s="1"/>
  <c r="H71" i="10" s="1"/>
  <c r="J72" i="10"/>
  <c r="K72" i="10" s="1"/>
  <c r="L72" i="10" s="1"/>
  <c r="J73" i="10"/>
  <c r="K73" i="10" s="1"/>
  <c r="L73" i="10" s="1"/>
  <c r="J74" i="10"/>
  <c r="J75" i="10"/>
  <c r="K75" i="10" s="1"/>
  <c r="L75" i="10" s="1"/>
  <c r="H80" i="10"/>
  <c r="K62" i="10" s="1"/>
  <c r="L62" i="10" s="1"/>
  <c r="J42" i="10"/>
  <c r="J43" i="10"/>
  <c r="J44" i="10"/>
  <c r="J45" i="10"/>
  <c r="J46" i="10"/>
  <c r="J48" i="10"/>
  <c r="K52" i="10"/>
  <c r="K53" i="10"/>
  <c r="J55" i="10"/>
  <c r="J56" i="10"/>
  <c r="J57" i="10"/>
  <c r="J58" i="10"/>
  <c r="J59" i="10"/>
  <c r="J61" i="10"/>
  <c r="L52" i="10"/>
  <c r="L53" i="10"/>
  <c r="F21" i="23"/>
  <c r="D42" i="11"/>
  <c r="I51" i="9"/>
  <c r="J53" i="10"/>
  <c r="G94" i="11"/>
  <c r="K50" i="11" s="1"/>
  <c r="L50" i="11" s="1"/>
  <c r="G84" i="12"/>
  <c r="J62" i="12" s="1"/>
  <c r="K54" i="12"/>
  <c r="J54" i="12"/>
  <c r="I54" i="12"/>
  <c r="D53" i="12"/>
  <c r="L64" i="11"/>
  <c r="K64" i="11"/>
  <c r="J64" i="11"/>
  <c r="D64" i="11"/>
  <c r="I50" i="9"/>
  <c r="J52" i="10"/>
  <c r="J85" i="11"/>
  <c r="K85" i="11" s="1"/>
  <c r="L85" i="11" s="1"/>
  <c r="J86" i="11"/>
  <c r="K86" i="11" s="1"/>
  <c r="J87" i="11"/>
  <c r="K87" i="11" s="1"/>
  <c r="L87" i="11" s="1"/>
  <c r="J88" i="11"/>
  <c r="K88" i="11" s="1"/>
  <c r="L88" i="11" s="1"/>
  <c r="J89" i="11"/>
  <c r="K89" i="11" s="1"/>
  <c r="L89" i="11" s="1"/>
  <c r="J56" i="11"/>
  <c r="J57" i="11"/>
  <c r="J58" i="11"/>
  <c r="J59" i="11"/>
  <c r="J60" i="11"/>
  <c r="J61" i="11"/>
  <c r="J65" i="11"/>
  <c r="K65" i="11" s="1"/>
  <c r="L65" i="11" s="1"/>
  <c r="J66" i="11"/>
  <c r="K66" i="11" s="1"/>
  <c r="L66" i="11" s="1"/>
  <c r="J67" i="11"/>
  <c r="J68" i="11"/>
  <c r="J69" i="11"/>
  <c r="J70" i="11"/>
  <c r="J71" i="11"/>
  <c r="J73" i="11"/>
  <c r="J74" i="11"/>
  <c r="J76" i="11"/>
  <c r="I42" i="9"/>
  <c r="I43" i="9"/>
  <c r="I44" i="9"/>
  <c r="I45" i="9"/>
  <c r="I46" i="9"/>
  <c r="I47" i="9"/>
  <c r="I52" i="9"/>
  <c r="I53" i="9"/>
  <c r="I54" i="9"/>
  <c r="I55" i="9"/>
  <c r="I56" i="9"/>
  <c r="I57" i="9"/>
  <c r="I59" i="9"/>
  <c r="I60" i="9"/>
  <c r="I62" i="9"/>
  <c r="I79" i="12"/>
  <c r="J79" i="12" s="1"/>
  <c r="K79" i="12" s="1"/>
  <c r="I78" i="12"/>
  <c r="J78" i="12" s="1"/>
  <c r="K78" i="12" s="1"/>
  <c r="I77" i="12"/>
  <c r="J77" i="12" s="1"/>
  <c r="K77" i="12" s="1"/>
  <c r="I76" i="12"/>
  <c r="J76" i="12" s="1"/>
  <c r="K76" i="12" s="1"/>
  <c r="I75" i="12"/>
  <c r="I66" i="12"/>
  <c r="I64" i="12"/>
  <c r="I63" i="12"/>
  <c r="I61" i="12"/>
  <c r="I60" i="12"/>
  <c r="I59" i="12"/>
  <c r="I58" i="12"/>
  <c r="I57" i="12"/>
  <c r="I56" i="12"/>
  <c r="J56" i="12" s="1"/>
  <c r="I55" i="12"/>
  <c r="J55" i="12" s="1"/>
  <c r="K55" i="12" s="1"/>
  <c r="I51" i="12"/>
  <c r="I50" i="12"/>
  <c r="I49" i="12"/>
  <c r="I48" i="12"/>
  <c r="I47" i="12"/>
  <c r="I46" i="12"/>
  <c r="J13" i="11"/>
  <c r="J12" i="11"/>
  <c r="D49" i="9" l="1"/>
  <c r="D63" i="9" s="1"/>
  <c r="J53" i="12"/>
  <c r="K58" i="10"/>
  <c r="L58" i="10" s="1"/>
  <c r="H58" i="10" s="1"/>
  <c r="I53" i="12"/>
  <c r="I67" i="12" s="1"/>
  <c r="K72" i="9"/>
  <c r="G72" i="9" s="1"/>
  <c r="I75" i="9"/>
  <c r="G87" i="11"/>
  <c r="G66" i="11"/>
  <c r="G84" i="11"/>
  <c r="K90" i="11"/>
  <c r="H75" i="10"/>
  <c r="G76" i="12"/>
  <c r="J52" i="9"/>
  <c r="K52" i="9" s="1"/>
  <c r="K49" i="9" s="1"/>
  <c r="K74" i="10"/>
  <c r="L74" i="10" s="1"/>
  <c r="L70" i="10"/>
  <c r="K56" i="12"/>
  <c r="K53" i="12" s="1"/>
  <c r="G73" i="9"/>
  <c r="K74" i="12"/>
  <c r="G79" i="12"/>
  <c r="H72" i="10"/>
  <c r="G89" i="11"/>
  <c r="H73" i="10"/>
  <c r="G78" i="12"/>
  <c r="K71" i="9"/>
  <c r="G71" i="9" s="1"/>
  <c r="J75" i="12"/>
  <c r="J80" i="12" s="1"/>
  <c r="L86" i="11"/>
  <c r="G86" i="11" s="1"/>
  <c r="D63" i="11"/>
  <c r="J63" i="11" s="1"/>
  <c r="J77" i="11" s="1"/>
  <c r="G77" i="12"/>
  <c r="G85" i="11"/>
  <c r="K43" i="10"/>
  <c r="L43" i="10" s="1"/>
  <c r="H43" i="10" s="1"/>
  <c r="K60" i="10"/>
  <c r="L60" i="10" s="1"/>
  <c r="K37" i="10"/>
  <c r="L37" i="10" s="1"/>
  <c r="K36" i="10"/>
  <c r="L36" i="10" s="1"/>
  <c r="K49" i="10"/>
  <c r="L49" i="10" s="1"/>
  <c r="G88" i="11"/>
  <c r="J61" i="12"/>
  <c r="K61" i="12" s="1"/>
  <c r="G61" i="12" s="1"/>
  <c r="J47" i="9"/>
  <c r="K47" i="9" s="1"/>
  <c r="G47" i="9" s="1"/>
  <c r="J42" i="9"/>
  <c r="K42" i="9" s="1"/>
  <c r="H39" i="9"/>
  <c r="H80" i="12"/>
  <c r="F51" i="23"/>
  <c r="I53" i="11"/>
  <c r="I39" i="10"/>
  <c r="H43" i="12"/>
  <c r="K63" i="11"/>
  <c r="J51" i="12"/>
  <c r="K51" i="12" s="1"/>
  <c r="G51" i="12" s="1"/>
  <c r="J66" i="12"/>
  <c r="K66" i="12" s="1"/>
  <c r="J65" i="12"/>
  <c r="K65" i="12" s="1"/>
  <c r="G65" i="12" s="1"/>
  <c r="K44" i="10"/>
  <c r="L44" i="10" s="1"/>
  <c r="J59" i="12"/>
  <c r="K59" i="12" s="1"/>
  <c r="J41" i="12"/>
  <c r="K41" i="12" s="1"/>
  <c r="J58" i="12"/>
  <c r="K58" i="12" s="1"/>
  <c r="G58" i="12" s="1"/>
  <c r="L63" i="11"/>
  <c r="I63" i="10"/>
  <c r="H63" i="9"/>
  <c r="I77" i="11"/>
  <c r="H67" i="12"/>
  <c r="I90" i="11"/>
  <c r="K56" i="10"/>
  <c r="L56" i="10" s="1"/>
  <c r="K42" i="10"/>
  <c r="K59" i="10"/>
  <c r="L59" i="10" s="1"/>
  <c r="H59" i="10" s="1"/>
  <c r="K46" i="10"/>
  <c r="L46" i="10" s="1"/>
  <c r="J45" i="9"/>
  <c r="K45" i="9" s="1"/>
  <c r="K45" i="10"/>
  <c r="L45" i="10" s="1"/>
  <c r="K68" i="11"/>
  <c r="L68" i="11" s="1"/>
  <c r="G68" i="11" s="1"/>
  <c r="K58" i="11"/>
  <c r="L58" i="11" s="1"/>
  <c r="G58" i="11" s="1"/>
  <c r="K74" i="11"/>
  <c r="K71" i="11"/>
  <c r="K67" i="11"/>
  <c r="L67" i="11" s="1"/>
  <c r="G67" i="11" s="1"/>
  <c r="K61" i="11"/>
  <c r="L61" i="11" s="1"/>
  <c r="G61" i="11" s="1"/>
  <c r="K57" i="11"/>
  <c r="L57" i="11" s="1"/>
  <c r="G57" i="11" s="1"/>
  <c r="K61" i="10"/>
  <c r="K57" i="10"/>
  <c r="L57" i="10" s="1"/>
  <c r="K60" i="11"/>
  <c r="L60" i="11" s="1"/>
  <c r="G60" i="11" s="1"/>
  <c r="J62" i="9"/>
  <c r="J43" i="9"/>
  <c r="K43" i="9" s="1"/>
  <c r="G43" i="9" s="1"/>
  <c r="K76" i="11"/>
  <c r="K59" i="11"/>
  <c r="K55" i="10"/>
  <c r="L55" i="10" s="1"/>
  <c r="J60" i="9"/>
  <c r="K60" i="9" s="1"/>
  <c r="G60" i="9" s="1"/>
  <c r="K73" i="11"/>
  <c r="L73" i="11" s="1"/>
  <c r="G73" i="11" s="1"/>
  <c r="K56" i="11"/>
  <c r="L56" i="11" s="1"/>
  <c r="G56" i="11" s="1"/>
  <c r="K70" i="11"/>
  <c r="K72" i="11"/>
  <c r="K51" i="11"/>
  <c r="K48" i="10"/>
  <c r="L48" i="10" s="1"/>
  <c r="J59" i="9"/>
  <c r="K59" i="9" s="1"/>
  <c r="G59" i="9" s="1"/>
  <c r="J36" i="9"/>
  <c r="K36" i="9" s="1"/>
  <c r="K75" i="11"/>
  <c r="L75" i="11" s="1"/>
  <c r="G75" i="11" s="1"/>
  <c r="K62" i="11"/>
  <c r="L62" i="11" s="1"/>
  <c r="J54" i="9"/>
  <c r="K54" i="9" s="1"/>
  <c r="K69" i="11"/>
  <c r="L69" i="11" s="1"/>
  <c r="G69" i="11" s="1"/>
  <c r="K62" i="12"/>
  <c r="G62" i="12" s="1"/>
  <c r="G50" i="11"/>
  <c r="J50" i="12"/>
  <c r="J64" i="12"/>
  <c r="J55" i="9"/>
  <c r="J46" i="9"/>
  <c r="J37" i="9"/>
  <c r="J47" i="12"/>
  <c r="J61" i="9"/>
  <c r="J53" i="9"/>
  <c r="J44" i="9"/>
  <c r="J48" i="12"/>
  <c r="J49" i="12"/>
  <c r="J58" i="9"/>
  <c r="J52" i="12"/>
  <c r="J57" i="12"/>
  <c r="J63" i="12"/>
  <c r="J57" i="9"/>
  <c r="J48" i="9"/>
  <c r="J60" i="12"/>
  <c r="J46" i="12"/>
  <c r="J56" i="9"/>
  <c r="H55" i="10" l="1"/>
  <c r="L42" i="10"/>
  <c r="J49" i="9"/>
  <c r="G74" i="12"/>
  <c r="K76" i="10"/>
  <c r="H70" i="10"/>
  <c r="L76" i="10"/>
  <c r="D39" i="12"/>
  <c r="D6" i="2"/>
  <c r="D67" i="12"/>
  <c r="H60" i="10"/>
  <c r="H74" i="10"/>
  <c r="J63" i="9"/>
  <c r="D38" i="10"/>
  <c r="J38" i="10" s="1"/>
  <c r="J75" i="9"/>
  <c r="G52" i="9"/>
  <c r="H49" i="10"/>
  <c r="H36" i="10"/>
  <c r="H44" i="10"/>
  <c r="K75" i="12"/>
  <c r="K80" i="12" s="1"/>
  <c r="G56" i="12"/>
  <c r="D77" i="11"/>
  <c r="L90" i="11"/>
  <c r="G90" i="11" s="1"/>
  <c r="H48" i="10"/>
  <c r="D54" i="10"/>
  <c r="D51" i="10" s="1"/>
  <c r="I49" i="9"/>
  <c r="I63" i="9" s="1"/>
  <c r="G63" i="11"/>
  <c r="H69" i="12"/>
  <c r="H70" i="12" s="1"/>
  <c r="H71" i="12" s="1"/>
  <c r="I79" i="11"/>
  <c r="I80" i="11" s="1"/>
  <c r="I81" i="11" s="1"/>
  <c r="H65" i="9"/>
  <c r="H66" i="9" s="1"/>
  <c r="I65" i="10"/>
  <c r="G59" i="12"/>
  <c r="H42" i="10"/>
  <c r="H37" i="10"/>
  <c r="H56" i="10"/>
  <c r="G41" i="12"/>
  <c r="G53" i="12"/>
  <c r="G66" i="12"/>
  <c r="H45" i="10"/>
  <c r="K77" i="11"/>
  <c r="G45" i="9"/>
  <c r="G62" i="11"/>
  <c r="G42" i="9"/>
  <c r="G54" i="9"/>
  <c r="L71" i="11"/>
  <c r="G71" i="11" s="1"/>
  <c r="G36" i="9"/>
  <c r="L76" i="11"/>
  <c r="G76" i="11" s="1"/>
  <c r="L74" i="11"/>
  <c r="G74" i="11" s="1"/>
  <c r="H62" i="10"/>
  <c r="L59" i="11"/>
  <c r="G59" i="11" s="1"/>
  <c r="H57" i="10"/>
  <c r="L70" i="11"/>
  <c r="G70" i="11" s="1"/>
  <c r="L51" i="11"/>
  <c r="G51" i="11" s="1"/>
  <c r="K62" i="9"/>
  <c r="G62" i="9" s="1"/>
  <c r="L61" i="10"/>
  <c r="H61" i="10" s="1"/>
  <c r="L72" i="11"/>
  <c r="G72" i="11" s="1"/>
  <c r="K57" i="9"/>
  <c r="G57" i="9" s="1"/>
  <c r="K46" i="9"/>
  <c r="G46" i="9" s="1"/>
  <c r="K56" i="9"/>
  <c r="G56" i="9" s="1"/>
  <c r="K55" i="9"/>
  <c r="G55" i="9" s="1"/>
  <c r="K48" i="12"/>
  <c r="G48" i="12" s="1"/>
  <c r="K46" i="12"/>
  <c r="G46" i="12" s="1"/>
  <c r="J67" i="12"/>
  <c r="H46" i="10"/>
  <c r="K49" i="12"/>
  <c r="G49" i="12" s="1"/>
  <c r="K63" i="12"/>
  <c r="G63" i="12" s="1"/>
  <c r="K47" i="12"/>
  <c r="G47" i="12" s="1"/>
  <c r="K64" i="12"/>
  <c r="G64" i="12" s="1"/>
  <c r="K57" i="12"/>
  <c r="G57" i="12" s="1"/>
  <c r="K60" i="12"/>
  <c r="G60" i="12" s="1"/>
  <c r="K52" i="12"/>
  <c r="G52" i="12" s="1"/>
  <c r="K50" i="12"/>
  <c r="G50" i="12" s="1"/>
  <c r="K61" i="9"/>
  <c r="G61" i="9" s="1"/>
  <c r="K58" i="9"/>
  <c r="G58" i="9" s="1"/>
  <c r="K44" i="9"/>
  <c r="K48" i="9"/>
  <c r="G48" i="9" s="1"/>
  <c r="K53" i="9"/>
  <c r="G53" i="9" s="1"/>
  <c r="K37" i="9"/>
  <c r="G37" i="9" s="1"/>
  <c r="H76" i="10" l="1"/>
  <c r="I92" i="11"/>
  <c r="D42" i="12"/>
  <c r="I39" i="12"/>
  <c r="F9" i="2"/>
  <c r="G9" i="2"/>
  <c r="G49" i="9"/>
  <c r="D35" i="10"/>
  <c r="D39" i="10" s="1"/>
  <c r="G75" i="12"/>
  <c r="K75" i="9"/>
  <c r="G80" i="12"/>
  <c r="J54" i="10"/>
  <c r="I66" i="10"/>
  <c r="I67" i="10" s="1"/>
  <c r="H82" i="12"/>
  <c r="H67" i="9"/>
  <c r="L77" i="11"/>
  <c r="G77" i="11" s="1"/>
  <c r="K63" i="9"/>
  <c r="G63" i="9" s="1"/>
  <c r="G44" i="9"/>
  <c r="K67" i="12"/>
  <c r="G67" i="12" s="1"/>
  <c r="D43" i="12" l="1"/>
  <c r="D69" i="12" s="1"/>
  <c r="D70" i="12" s="1"/>
  <c r="I42" i="12"/>
  <c r="I78" i="10"/>
  <c r="H78" i="9"/>
  <c r="E9" i="2"/>
  <c r="J38" i="12"/>
  <c r="J39" i="12" s="1"/>
  <c r="G75" i="9"/>
  <c r="J35" i="10"/>
  <c r="K34" i="10"/>
  <c r="J51" i="10"/>
  <c r="J63" i="10" s="1"/>
  <c r="D63" i="10"/>
  <c r="D65" i="10" s="1"/>
  <c r="D66" i="10" s="1"/>
  <c r="K54" i="10"/>
  <c r="K51" i="10" s="1"/>
  <c r="K63" i="10" s="1"/>
  <c r="D9" i="2"/>
  <c r="D49" i="11"/>
  <c r="J48" i="11"/>
  <c r="J49" i="11" s="1"/>
  <c r="D52" i="11"/>
  <c r="D71" i="12" l="1"/>
  <c r="D82" i="12" s="1"/>
  <c r="F8" i="2" s="1"/>
  <c r="K38" i="12"/>
  <c r="K39" i="12" s="1"/>
  <c r="G39" i="12" s="1"/>
  <c r="L34" i="10"/>
  <c r="K35" i="10"/>
  <c r="L54" i="10"/>
  <c r="L51" i="10" s="1"/>
  <c r="L63" i="10" s="1"/>
  <c r="D67" i="10"/>
  <c r="D53" i="11"/>
  <c r="D79" i="11" s="1"/>
  <c r="K48" i="11"/>
  <c r="K49" i="11" s="1"/>
  <c r="F16" i="2" l="1"/>
  <c r="F15" i="2"/>
  <c r="F14" i="2"/>
  <c r="G38" i="12"/>
  <c r="L35" i="10"/>
  <c r="H35" i="10" s="1"/>
  <c r="H34" i="10"/>
  <c r="H54" i="10"/>
  <c r="D78" i="10"/>
  <c r="D8" i="2" s="1"/>
  <c r="L48" i="11"/>
  <c r="L49" i="11" s="1"/>
  <c r="D80" i="11"/>
  <c r="D14" i="2" l="1"/>
  <c r="D16" i="2"/>
  <c r="D15" i="2"/>
  <c r="H63" i="10"/>
  <c r="H51" i="10"/>
  <c r="D81" i="11"/>
  <c r="G49" i="11"/>
  <c r="G48" i="11"/>
  <c r="D92" i="11" l="1"/>
  <c r="D34" i="9" l="1"/>
  <c r="I34" i="9" s="1"/>
  <c r="D35" i="9" l="1"/>
  <c r="I35" i="9"/>
  <c r="H52" i="11"/>
  <c r="D38" i="9"/>
  <c r="I38" i="9" s="1"/>
  <c r="D39" i="9" l="1"/>
  <c r="D65" i="9" s="1"/>
  <c r="D66" i="9" s="1"/>
  <c r="D67" i="9" s="1"/>
  <c r="J38" i="9"/>
  <c r="K38" i="9" s="1"/>
  <c r="J41" i="24"/>
  <c r="I42" i="24"/>
  <c r="H53" i="11"/>
  <c r="H79" i="11" s="1"/>
  <c r="H80" i="11" s="1"/>
  <c r="H81" i="11" s="1"/>
  <c r="J52" i="11"/>
  <c r="J34" i="9"/>
  <c r="J35" i="9" s="1"/>
  <c r="I68" i="24" l="1"/>
  <c r="K41" i="24"/>
  <c r="K42" i="24" s="1"/>
  <c r="K68" i="24" s="1"/>
  <c r="J42" i="24"/>
  <c r="J68" i="24" s="1"/>
  <c r="I39" i="9"/>
  <c r="I65" i="9" s="1"/>
  <c r="G38" i="9"/>
  <c r="J53" i="11"/>
  <c r="K52" i="11"/>
  <c r="I43" i="12"/>
  <c r="I69" i="12" s="1"/>
  <c r="J42" i="12"/>
  <c r="K42" i="12" s="1"/>
  <c r="G42" i="12" s="1"/>
  <c r="J39" i="10"/>
  <c r="K38" i="10"/>
  <c r="K34" i="9"/>
  <c r="G34" i="9" s="1"/>
  <c r="J39" i="9"/>
  <c r="I70" i="12" l="1"/>
  <c r="I71" i="12" s="1"/>
  <c r="I66" i="9"/>
  <c r="I67" i="9" s="1"/>
  <c r="E7" i="2" s="1"/>
  <c r="G41" i="24"/>
  <c r="J69" i="24"/>
  <c r="J70" i="24" s="1"/>
  <c r="J81" i="24" s="1"/>
  <c r="K69" i="24"/>
  <c r="K70" i="24" s="1"/>
  <c r="K81" i="24" s="1"/>
  <c r="G42" i="24"/>
  <c r="I69" i="24"/>
  <c r="G68" i="24"/>
  <c r="L38" i="10"/>
  <c r="L39" i="10" s="1"/>
  <c r="L65" i="10" s="1"/>
  <c r="L66" i="10" s="1"/>
  <c r="L67" i="10" s="1"/>
  <c r="L78" i="10" s="1"/>
  <c r="K39" i="10"/>
  <c r="K65" i="10" s="1"/>
  <c r="K66" i="10" s="1"/>
  <c r="K67" i="10" s="1"/>
  <c r="K78" i="10" s="1"/>
  <c r="J65" i="10"/>
  <c r="L52" i="11"/>
  <c r="K53" i="11"/>
  <c r="K79" i="11" s="1"/>
  <c r="J79" i="11"/>
  <c r="K35" i="9"/>
  <c r="G35" i="9" s="1"/>
  <c r="J65" i="9"/>
  <c r="J66" i="9" s="1"/>
  <c r="F7" i="2" l="1"/>
  <c r="F11" i="2" s="1"/>
  <c r="I82" i="12"/>
  <c r="E11" i="2"/>
  <c r="E12" i="2"/>
  <c r="E13" i="2"/>
  <c r="I70" i="24"/>
  <c r="G7" i="2" s="1"/>
  <c r="G11" i="2" s="1"/>
  <c r="G69" i="24"/>
  <c r="H38" i="10"/>
  <c r="H39" i="10"/>
  <c r="J66" i="10"/>
  <c r="H66" i="10" s="1"/>
  <c r="H65" i="10"/>
  <c r="G52" i="11"/>
  <c r="L53" i="11"/>
  <c r="L79" i="11" s="1"/>
  <c r="L80" i="11" s="1"/>
  <c r="L81" i="11" s="1"/>
  <c r="L92" i="11" s="1"/>
  <c r="J80" i="11"/>
  <c r="J81" i="11" s="1"/>
  <c r="K80" i="11"/>
  <c r="K81" i="11" s="1"/>
  <c r="K92" i="11" s="1"/>
  <c r="K39" i="9"/>
  <c r="K65" i="9" s="1"/>
  <c r="K66" i="9" s="1"/>
  <c r="K67" i="9" s="1"/>
  <c r="F13" i="2" l="1"/>
  <c r="F12" i="2"/>
  <c r="J67" i="10"/>
  <c r="G70" i="24"/>
  <c r="I81" i="24"/>
  <c r="G81" i="24" s="1"/>
  <c r="G53" i="11"/>
  <c r="G79" i="11"/>
  <c r="G80" i="11"/>
  <c r="G65" i="9"/>
  <c r="G39" i="9"/>
  <c r="J67" i="9"/>
  <c r="G66" i="9"/>
  <c r="D7" i="2" l="1"/>
  <c r="H67" i="10"/>
  <c r="J78" i="10"/>
  <c r="H78" i="10" s="1"/>
  <c r="J92" i="11"/>
  <c r="G92" i="11" s="1"/>
  <c r="G81" i="11"/>
  <c r="G67" i="9"/>
  <c r="D12" i="2" l="1"/>
  <c r="D11" i="2"/>
  <c r="D13" i="2"/>
  <c r="J40" i="12"/>
  <c r="J43" i="12" l="1"/>
  <c r="J69" i="12" s="1"/>
  <c r="J70" i="12" s="1"/>
  <c r="K40" i="12"/>
  <c r="K43" i="12" s="1"/>
  <c r="K69" i="12" s="1"/>
  <c r="K70" i="12" s="1"/>
  <c r="G69" i="12" l="1"/>
  <c r="J71" i="12"/>
  <c r="K71" i="12"/>
  <c r="K82" i="12" s="1"/>
  <c r="G70" i="12"/>
  <c r="G43" i="12"/>
  <c r="G40" i="12"/>
  <c r="G13" i="2" l="1"/>
  <c r="G12" i="2"/>
  <c r="G71" i="12"/>
  <c r="J82" i="12"/>
  <c r="G82" i="12" s="1"/>
  <c r="H26" i="9"/>
  <c r="D70" i="9" l="1"/>
  <c r="I70" i="9" l="1"/>
  <c r="D76" i="9"/>
  <c r="I76" i="9" l="1"/>
  <c r="D78" i="9"/>
  <c r="E8" i="2" s="1"/>
  <c r="J70" i="9"/>
  <c r="J76" i="9" l="1"/>
  <c r="J78" i="9" s="1"/>
  <c r="K70" i="9"/>
  <c r="K76" i="9" s="1"/>
  <c r="K78" i="9" s="1"/>
  <c r="E14" i="2"/>
  <c r="E16" i="2"/>
  <c r="E15" i="2"/>
  <c r="I78" i="9"/>
  <c r="G78" i="9" l="1"/>
  <c r="G76" i="9"/>
  <c r="G70" i="9"/>
</calcChain>
</file>

<file path=xl/sharedStrings.xml><?xml version="1.0" encoding="utf-8"?>
<sst xmlns="http://schemas.openxmlformats.org/spreadsheetml/2006/main" count="947" uniqueCount="425">
  <si>
    <t>Introduction and Quick Links</t>
  </si>
  <si>
    <t>3. This tool includes recommended caseload sizes as indicated by evidence based practice.  You may add populations or adjust caseload sizes as needed for your organization's program or specific model.</t>
  </si>
  <si>
    <t>Notes:</t>
  </si>
  <si>
    <t>Blue boxes indicate inputs that impact formulas and outputs in the Budget Summary tab - please change these cells to desired values.</t>
  </si>
  <si>
    <t>Green boxes indicate outputs linked from other cells' inputs - please do NOT change these cells.</t>
  </si>
  <si>
    <t>Budget Summary Output</t>
  </si>
  <si>
    <t>Number of FTE Employees</t>
  </si>
  <si>
    <t>Start Up Costs</t>
  </si>
  <si>
    <t>Basic Inputs and Assumptions</t>
  </si>
  <si>
    <t>Basic Inputs</t>
  </si>
  <si>
    <t>Yes</t>
  </si>
  <si>
    <t>Budget Assumptions</t>
  </si>
  <si>
    <t>Input for tailoring</t>
  </si>
  <si>
    <t>Administrative/indirect rates are 15%</t>
  </si>
  <si>
    <t>Site based mileage varies greatly depending on the breadth of service coordination and transportation offered.   CSH recommends up to 5 miles per day for site based transportation for service coordination (social security appointments, outreach, medical and social service appointments, support accessing other services).</t>
  </si>
  <si>
    <t xml:space="preserve">Annual inflation is currently set to assume a 2.5% increase in costs each year. </t>
  </si>
  <si>
    <t>Total</t>
  </si>
  <si>
    <t>Program Assumptions</t>
  </si>
  <si>
    <t>Recommended FTE CMs</t>
  </si>
  <si>
    <t>FTE</t>
  </si>
  <si>
    <t>Annual Salary (per FTE)</t>
  </si>
  <si>
    <t>Program Director</t>
  </si>
  <si>
    <t>Recommendations - see 'Assumptions' tab for further information.</t>
  </si>
  <si>
    <t>FTE Hrs/Week</t>
  </si>
  <si>
    <t>We recommend 40 hours/week</t>
  </si>
  <si>
    <t>Productivity</t>
  </si>
  <si>
    <t>Holiday days</t>
  </si>
  <si>
    <t>We recommend at least the 10.0 Federal holiday days</t>
  </si>
  <si>
    <t>PTO days</t>
  </si>
  <si>
    <t>We recommend 20.0 PTO days</t>
  </si>
  <si>
    <t>Personal days</t>
  </si>
  <si>
    <t>We recommend 3.0 personal days</t>
  </si>
  <si>
    <t>Other days off</t>
  </si>
  <si>
    <t>We recommend 1.0 other days off</t>
  </si>
  <si>
    <t>Calculated UOS per FTE</t>
  </si>
  <si>
    <t>Days worked per year</t>
  </si>
  <si>
    <t>3. Please complete the blue boxes in the template budget below:</t>
  </si>
  <si>
    <t>Year 1</t>
  </si>
  <si>
    <t>Year 2</t>
  </si>
  <si>
    <t>Year 3</t>
  </si>
  <si>
    <t>A. PERSONNEL EXPENSES</t>
  </si>
  <si>
    <t>Wages and Salaries</t>
  </si>
  <si>
    <t>Employee Benefits</t>
  </si>
  <si>
    <t>Contract Personnel</t>
  </si>
  <si>
    <t>Other Personnel Expenses</t>
  </si>
  <si>
    <t>Staff Development &amp; Training</t>
  </si>
  <si>
    <t>See 'Assumptions' tab for further info.</t>
  </si>
  <si>
    <t>Sub-total Personnel Expenses</t>
  </si>
  <si>
    <t>B. OPERATING EXPENSES</t>
  </si>
  <si>
    <t>Rent</t>
  </si>
  <si>
    <t>Utilities</t>
  </si>
  <si>
    <t>Building Insurance</t>
  </si>
  <si>
    <t>Housekeeping</t>
  </si>
  <si>
    <t>Communications (Phone, Data)</t>
  </si>
  <si>
    <t>Office Supplies</t>
  </si>
  <si>
    <t>Profesional Liability Insurance</t>
  </si>
  <si>
    <t>Estimated Mileage</t>
  </si>
  <si>
    <t>Mileage Rate</t>
  </si>
  <si>
    <t>The 2020 federal rate is $0.575 per mile.</t>
  </si>
  <si>
    <t>Est. Miles Per Day Per FTE</t>
  </si>
  <si>
    <t>Est. # FTE Traveling</t>
  </si>
  <si>
    <t>Vehicles</t>
  </si>
  <si>
    <t>Vehicle Insurance</t>
  </si>
  <si>
    <t>Vehicle Expenses (Upkeep)</t>
  </si>
  <si>
    <t>Client Transportation</t>
  </si>
  <si>
    <t>Building Renovations</t>
  </si>
  <si>
    <t>Furnishing/Equipment (EHR or HMIS licenses, computers, desks, chairs, filing, copier)</t>
  </si>
  <si>
    <t>Nursing equipment (e.g., scale, blood-pressure cuffs, stethoscopes, thermometers, injection supplies, etc)</t>
  </si>
  <si>
    <t>Minor Household Equipment</t>
  </si>
  <si>
    <t>Furniture/Equipment Repairs</t>
  </si>
  <si>
    <t>Miscellaneous Expenses (Client Emergency Fund, Tenant supplies)</t>
  </si>
  <si>
    <t>Security Deposits</t>
  </si>
  <si>
    <t>Sub-total Operating Expenses</t>
  </si>
  <si>
    <t>C. TOTAL DIRECT</t>
  </si>
  <si>
    <t>D. ADMINISTRATION (INDIRECT)</t>
  </si>
  <si>
    <t>In Kind /Community Partner Service</t>
  </si>
  <si>
    <t>Program Service Fees</t>
  </si>
  <si>
    <t>Grants</t>
  </si>
  <si>
    <t>Other Revenue</t>
  </si>
  <si>
    <t xml:space="preserve">H. NET </t>
  </si>
  <si>
    <t>Assumed annual inflation</t>
  </si>
  <si>
    <t>UOS/Hour</t>
  </si>
  <si>
    <t>We recommend 4.0 UOS/Hour</t>
  </si>
  <si>
    <t>Service Liability Insurance</t>
  </si>
  <si>
    <t>Recommendation for scattered site accommodation only.</t>
  </si>
  <si>
    <t>Miscellaneous Expenses (Client Emergency Fund, Tenant supplies, Nursing equipment)</t>
  </si>
  <si>
    <t>TOTAL REVENUE</t>
  </si>
  <si>
    <t xml:space="preserve"> </t>
  </si>
  <si>
    <r>
      <rPr>
        <b/>
        <sz val="12"/>
        <color theme="5"/>
        <rFont val="Calibri"/>
        <family val="2"/>
        <scheme val="minor"/>
      </rPr>
      <t>2b.</t>
    </r>
    <r>
      <rPr>
        <b/>
        <sz val="12"/>
        <color theme="1"/>
        <rFont val="Calibri"/>
        <family val="2"/>
        <scheme val="minor"/>
      </rPr>
      <t xml:space="preserve"> </t>
    </r>
    <r>
      <rPr>
        <b/>
        <sz val="12"/>
        <color theme="5"/>
        <rFont val="Calibri"/>
        <family val="2"/>
        <scheme val="minor"/>
      </rPr>
      <t>(OPTIONAL)</t>
    </r>
    <r>
      <rPr>
        <b/>
        <sz val="12"/>
        <color theme="1"/>
        <rFont val="Calibri"/>
        <family val="2"/>
        <scheme val="minor"/>
      </rPr>
      <t xml:space="preserve"> Only complete rows 29-37 if you are planning to be reimbursed by a "fee for service" structure in 15 minute unit increments. Otherwise, leave as is.</t>
    </r>
  </si>
  <si>
    <t>UOS Assumptions for CMs</t>
  </si>
  <si>
    <t xml:space="preserve">We recommend 75%.  If you are budgeting for under 75%, provide justification (rural/long travel requirements or outreach teams) </t>
  </si>
  <si>
    <t>Recommendation for scattered site housing only.</t>
  </si>
  <si>
    <t xml:space="preserve">General Startup Costs </t>
  </si>
  <si>
    <t>Basis</t>
  </si>
  <si>
    <t xml:space="preserve">Total </t>
  </si>
  <si>
    <t xml:space="preserve">Advertising/Posting </t>
  </si>
  <si>
    <t>Signing Bonuses</t>
  </si>
  <si>
    <t>Background Checks</t>
  </si>
  <si>
    <t>Cost</t>
  </si>
  <si>
    <t>Per/emp</t>
  </si>
  <si>
    <t>Notes</t>
  </si>
  <si>
    <t>Costs of posting on hiring websites or search firms</t>
  </si>
  <si>
    <t>If necessary given local market conditions, per employee signing bonuses</t>
  </si>
  <si>
    <t>Costs of background checks for each hired employee, if used</t>
  </si>
  <si>
    <t>Purchase of vehicles for use by staff when working with clients</t>
  </si>
  <si>
    <t>Initial insurance payment for purchased vehicles</t>
  </si>
  <si>
    <t>Renovations to office space to ready it for start of services</t>
  </si>
  <si>
    <t>Chairs</t>
  </si>
  <si>
    <t>Filing cabinets, locked</t>
  </si>
  <si>
    <t>Filing cabinets designed to hold client medical or other healthcare records</t>
  </si>
  <si>
    <t>Licenses, Electronic Health Records</t>
  </si>
  <si>
    <t xml:space="preserve">Licenses, HMIS </t>
  </si>
  <si>
    <t xml:space="preserve">Office Supplies, Misc. </t>
  </si>
  <si>
    <t>Paper, staplers, pens, other items necessary to prepare workspaces for new staff</t>
  </si>
  <si>
    <t>Training</t>
  </si>
  <si>
    <t>Costs for training as new staff are being onboarded</t>
  </si>
  <si>
    <t>Mobile wifi hotspots</t>
  </si>
  <si>
    <t># of Units</t>
  </si>
  <si>
    <t>per/month</t>
  </si>
  <si>
    <t xml:space="preserve">Vehicles (purchase) </t>
  </si>
  <si>
    <t xml:space="preserve">Utilities prior to services beginning </t>
  </si>
  <si>
    <t>Rent for office space during the ramp up phase prior to services beginning, generally only relevant for new programs without existing space</t>
  </si>
  <si>
    <t xml:space="preserve">Insurance for new building or space prior to services beginning </t>
  </si>
  <si>
    <t xml:space="preserve">Computers/Tablets </t>
  </si>
  <si>
    <t xml:space="preserve">Staff Development &amp; Training </t>
  </si>
  <si>
    <t>Number of desks needed for newly hired employees</t>
  </si>
  <si>
    <t>Number of chairs needed for newly hired employees</t>
  </si>
  <si>
    <t xml:space="preserve">The initial cost of electronic health record licenses and setup. Ongoing costs will be included in each annual budget. </t>
  </si>
  <si>
    <t xml:space="preserve">The initial cost of HMIS licenses and setup. Ongoing costs will be included in each annual budget. </t>
  </si>
  <si>
    <t>Other</t>
  </si>
  <si>
    <t>Link to General Start Up Budget Tab</t>
  </si>
  <si>
    <t xml:space="preserve">Start Up (Tab 8 if using) </t>
  </si>
  <si>
    <t>Staff Development and Training</t>
  </si>
  <si>
    <t>Sub-total Startup Personnel Expenses</t>
  </si>
  <si>
    <t>Communications, Cell Phones</t>
  </si>
  <si>
    <t>Furnishing/Equipment</t>
  </si>
  <si>
    <t>E. TOTAL PROGRAM COSTS</t>
  </si>
  <si>
    <t>F. REVENUE</t>
  </si>
  <si>
    <t xml:space="preserve">G. NET </t>
  </si>
  <si>
    <t xml:space="preserve">C. TOTAL DIRECT STARTUP EXPENSES  </t>
  </si>
  <si>
    <t>Sub-total Startup Operating Expenses</t>
  </si>
  <si>
    <t>White boxes indicate budget item descriptions and program specific information that CAN be changed (optional)- please change these cells to match the terminology you use to describe your program staff and budget items.</t>
  </si>
  <si>
    <t>Bonuses or overtime pay for covering additional case loads while hiring new staff/ramping up to a full team.</t>
  </si>
  <si>
    <t>Shredder or shredding service for confidential documents</t>
  </si>
  <si>
    <t>If providing health services or a Medicaid provider, this will be important for protecting client information.</t>
  </si>
  <si>
    <t>Copier purchase for service delivery team if needed. Scanner is relevant if converting any paper documents to digital for storage in electronic health record.</t>
  </si>
  <si>
    <t>Include the Following Service Staffing Models in the Budget Summary Output Tab?</t>
  </si>
  <si>
    <t>Questions?</t>
  </si>
  <si>
    <t>Do you want to include general start up costs in your budget summary?</t>
  </si>
  <si>
    <t>Follow link to Staffing Model Budget Tab</t>
  </si>
  <si>
    <t>Total + Start Up</t>
  </si>
  <si>
    <t>Medicaid (Tab 9 if using)</t>
  </si>
  <si>
    <t>Employee benefits rate</t>
  </si>
  <si>
    <t>No</t>
  </si>
  <si>
    <t>See Tab 3. Basic Inputs &amp; Assumptions for further detail</t>
  </si>
  <si>
    <t>SH Tenancy Support Services ANNUAL BUDGET without Start Up and Medicaid</t>
  </si>
  <si>
    <t>We recommend these additional considerations when using this tool:</t>
  </si>
  <si>
    <t>1. Organizations should be reviewing salary scales every 3-5 years in  your local area to ensure budgeted salaries are meeting or exceeding the local labor market standards. We urge organizations to pay and advocate to funders for livable wages for all program staff at all levels of the agency.</t>
  </si>
  <si>
    <t>Coordinated Care Model</t>
  </si>
  <si>
    <t>Coordinated Clinical Care Model</t>
  </si>
  <si>
    <t>Integrated Clinical Care Model</t>
  </si>
  <si>
    <t>Comprehensive Clinical Care Model</t>
  </si>
  <si>
    <t>Coordinated Care Model (non-clinical)</t>
  </si>
  <si>
    <t>Link to Integrated Clinical Care Model Budget Tab</t>
  </si>
  <si>
    <t>Link to Coordinated Clinical Care Model Budget Tab</t>
  </si>
  <si>
    <t xml:space="preserve">Staff training, professional development and appreciation costs are recommended to be between 1%-3% of your staff wages. We recommend beginning with at least 1.5% and increasing based on workforce needs. </t>
  </si>
  <si>
    <t xml:space="preserve">Transportation costs are a necessary budget component for supporting clients traveling to and from the community to respite. For agencies unsure of miles traveled per month, we recommend budgeting x miles per day per x number of clients served daily. </t>
  </si>
  <si>
    <t xml:space="preserve">People with lived experience can and should be hired in all roles.  This budget tool recognizes models with positions that require peers with lived expertise. </t>
  </si>
  <si>
    <t>Case manager [full-time]</t>
  </si>
  <si>
    <t>Community health worker</t>
  </si>
  <si>
    <t>Peer support specialist</t>
  </si>
  <si>
    <t>SOAR Specialist</t>
  </si>
  <si>
    <t> Beds and linens  </t>
  </si>
  <si>
    <t>Lockable bedside storage</t>
  </si>
  <si>
    <t xml:space="preserve">Desks/work station for medical respite team </t>
  </si>
  <si>
    <t xml:space="preserve">Storage cabinet for medical supplies </t>
  </si>
  <si>
    <t>Exam room table</t>
  </si>
  <si>
    <t>Medication Refrigerator</t>
  </si>
  <si>
    <t>Printer/Scanner/Copier</t>
  </si>
  <si>
    <t>Furnishing/Equipment upkeep (EHR or HMIS licenses, computers, desks, chairs, filing, copier)</t>
  </si>
  <si>
    <t>Housekeeping, room and board, laundry</t>
  </si>
  <si>
    <t>Washer &amp; Dryer</t>
  </si>
  <si>
    <t>Communications (Phone, Data, Wi-fi)</t>
  </si>
  <si>
    <t>Interpreter Services</t>
  </si>
  <si>
    <t>Security cameras</t>
  </si>
  <si>
    <t>Link to Coordinated Care Model Budget Tab</t>
  </si>
  <si>
    <t>Coordinated Care Model Staffing &amp; Budget Model</t>
  </si>
  <si>
    <t>Coordinated Clinical Medical Respite Staffing &amp; Budget Model</t>
  </si>
  <si>
    <t>About the Coordinated Clinical Medical Respite Staffing &amp; Budget Model</t>
  </si>
  <si>
    <t>Collaborative Clinical Medical Respite Staffing &amp; Budget Model</t>
  </si>
  <si>
    <t>About the Collaborative Clinical Medical Respite Staffing Model</t>
  </si>
  <si>
    <t>About the Integrated Clinical Medical Respite Staffing Model</t>
  </si>
  <si>
    <t>About the Comprehensive Clinical Medical Respite Staffing Model</t>
  </si>
  <si>
    <t xml:space="preserve">                                                                                                             </t>
  </si>
  <si>
    <t>Beds in Program</t>
  </si>
  <si>
    <t>Number of beds in program</t>
  </si>
  <si>
    <t xml:space="preserve">Total Number of Beds </t>
  </si>
  <si>
    <t>Nurse (RN, LPN)</t>
  </si>
  <si>
    <t xml:space="preserve">Case Manager  </t>
  </si>
  <si>
    <t>Community Health Worker</t>
  </si>
  <si>
    <t xml:space="preserve">* This budget planning tool is limited to populations where evidence-based research is available.  When research isn't available we drew on promising practices from medical respite programs around California and the U.S. </t>
  </si>
  <si>
    <t>Other staff</t>
  </si>
  <si>
    <t>MediCal Reimbursement</t>
  </si>
  <si>
    <t>MCO Contracts</t>
  </si>
  <si>
    <t xml:space="preserve">Please direct all questions and concerns about the staffing model structures and best practice recommendations to the National Institute for Medical Respite Care </t>
  </si>
  <si>
    <t>Transportation (Uber Health or staff mileage reimbursement)</t>
  </si>
  <si>
    <t>Other non-clinical staff (driver, janitorial, laundry service, housekeeping)</t>
  </si>
  <si>
    <t># of beds*</t>
  </si>
  <si>
    <t>FTE**</t>
  </si>
  <si>
    <t># of beds in program*</t>
  </si>
  <si>
    <t>Miscellaneous Expenses (Client Emergency Fund, Tenant supplies, nursing equipment)</t>
  </si>
  <si>
    <t>START HERE FOR BUDGET TOOL</t>
  </si>
  <si>
    <t>BACKGROUND</t>
  </si>
  <si>
    <t>1. The staffing numbers and recommendations below are based on serving 17 number of patients in a respite setting.  To adjust the number of clients, please fill in the blue boxes in Row 12- this will impact your output summary Tab 2 cost estimates. To adjust the number of staff working at your program, please fill in the blue boxes beginning in Row 19.</t>
  </si>
  <si>
    <r>
      <t xml:space="preserve">The Collaborative Clinical Care model includes the most essential recuperative care services and uses a collaborative partnership model with healthcare and social service providers to deliver clinical services. This model is most appropriate for individuals experiencing homelessness who require medical, behavioral health and substance use treatment services and who would benefit from the following:                                                                                                                                                                                                                        • </t>
    </r>
    <r>
      <rPr>
        <b/>
        <sz val="12"/>
        <color theme="1"/>
        <rFont val="Calibri"/>
        <family val="2"/>
        <scheme val="minor"/>
      </rPr>
      <t xml:space="preserve">Case management/care coordination </t>
    </r>
    <r>
      <rPr>
        <sz val="12"/>
        <color theme="1"/>
        <rFont val="Calibri"/>
        <family val="2"/>
        <scheme val="minor"/>
      </rPr>
      <t>for medical appointments 
• Medical Respite (MR) program c</t>
    </r>
    <r>
      <rPr>
        <b/>
        <sz val="12"/>
        <color theme="1"/>
        <rFont val="Calibri"/>
        <family val="2"/>
        <scheme val="minor"/>
      </rPr>
      <t>ontracts or has partnership with a health center or other clinical care team that comes onsite.</t>
    </r>
    <r>
      <rPr>
        <sz val="12"/>
        <color theme="1"/>
        <rFont val="Calibri"/>
        <family val="2"/>
        <scheme val="minor"/>
      </rPr>
      <t xml:space="preserve"> Services provided by partnering organization(s) may include: Medical assessment and examination; Ongoing medical care; Behavioral assessment; Ongoing behavioral health care; Case management; Health Care (HC)team bills for services - MR does not incur costs for clinical services beyond basic equipment or space; Clinical care providers complete medication management which may include: Medication reconciliation and prescription,  and education and skill development to self-manage and administer medications.
• </t>
    </r>
    <r>
      <rPr>
        <b/>
        <sz val="12"/>
        <color theme="1"/>
        <rFont val="Calibri"/>
        <family val="2"/>
        <scheme val="minor"/>
      </rPr>
      <t>Assessment of need and referral to community-based health services</t>
    </r>
    <r>
      <rPr>
        <sz val="12"/>
        <color theme="1"/>
        <rFont val="Calibri"/>
        <family val="2"/>
        <scheme val="minor"/>
      </rPr>
      <t xml:space="preserve"> including [if not completed or addressed by health center]: Primary care provider, Behavioral health provider, Substance use providers and programs 
• </t>
    </r>
    <r>
      <rPr>
        <b/>
        <sz val="12"/>
        <color theme="1"/>
        <rFont val="Calibri"/>
        <family val="2"/>
        <scheme val="minor"/>
      </rPr>
      <t xml:space="preserve">Medication support </t>
    </r>
    <r>
      <rPr>
        <sz val="12"/>
        <color theme="1"/>
        <rFont val="Calibri"/>
        <family val="2"/>
        <scheme val="minor"/>
      </rPr>
      <t xml:space="preserve">[if medication oversight is not completed by partnering organization]: Safe and secure space for individuals/clients to store medications, (Respite facility may store medications for clients when following applicable state pharmacy guidelines and overseen by licensed clinical staff); Medications are accessible to the medical respite client 24/7; The medical respite client is responsible for self-administering all medications;  The medical respite staff supports client in accessing all prescribed medications (e.g. ensuring hospital discharges client with medications; accessing local pharmacies). 
• </t>
    </r>
    <r>
      <rPr>
        <b/>
        <sz val="12"/>
        <color theme="1"/>
        <rFont val="Calibri"/>
        <family val="2"/>
        <scheme val="minor"/>
      </rPr>
      <t>Referral to community case management services</t>
    </r>
    <r>
      <rPr>
        <sz val="12"/>
        <color theme="1"/>
        <rFont val="Calibri"/>
        <family val="2"/>
        <scheme val="minor"/>
      </rPr>
      <t xml:space="preserve"> [if not completed by partnering organization] 
• Client has </t>
    </r>
    <r>
      <rPr>
        <b/>
        <sz val="12"/>
        <color theme="1"/>
        <rFont val="Calibri"/>
        <family val="2"/>
        <scheme val="minor"/>
      </rPr>
      <t>space to engage with home-based clinical services</t>
    </r>
    <r>
      <rPr>
        <sz val="12"/>
        <color theme="1"/>
        <rFont val="Calibri"/>
        <family val="2"/>
        <scheme val="minor"/>
      </rPr>
      <t xml:space="preserve"> (e.g. home health, home nursing care, physical therapy, speech, occupational therapy) 
</t>
    </r>
  </si>
  <si>
    <t>• Prescribing provider (MD, DO, PA, NP)</t>
  </si>
  <si>
    <t>• Behavioral Health Provider</t>
  </si>
  <si>
    <t>• Psychiatry</t>
  </si>
  <si>
    <t>• Case Manager</t>
  </si>
  <si>
    <t>• Community Health Worker</t>
  </si>
  <si>
    <t>Recommended staff provided by partnering organization- with salaries covered by partner</t>
  </si>
  <si>
    <t>Total Respite Program staff with billable time (does not include billable time from partner organizations)</t>
  </si>
  <si>
    <r>
      <rPr>
        <b/>
        <i/>
        <u/>
        <sz val="12"/>
        <color theme="1"/>
        <rFont val="Calibri"/>
        <family val="2"/>
        <scheme val="minor"/>
      </rPr>
      <t xml:space="preserve">Skills and Expertise needed for the Collaborative Clinical Care Model:  </t>
    </r>
    <r>
      <rPr>
        <sz val="12"/>
        <color theme="1"/>
        <rFont val="Calibri"/>
        <family val="2"/>
        <scheme val="minor"/>
      </rPr>
      <t xml:space="preserve">                                                                                                                                                                                                </t>
    </r>
    <r>
      <rPr>
        <b/>
        <sz val="12"/>
        <color theme="1"/>
        <rFont val="Calibri"/>
        <family val="2"/>
        <scheme val="minor"/>
      </rPr>
      <t xml:space="preserve">• Admissions screening and intake: </t>
    </r>
    <r>
      <rPr>
        <sz val="12"/>
        <color theme="1"/>
        <rFont val="Calibri"/>
        <family val="2"/>
        <scheme val="minor"/>
      </rPr>
      <t xml:space="preserve">Comprehensive knowledge and understanding of admissions criteria, Ability to review referral and supplemental health information to match to established admissions criteria and identify potential clinical and support services needs while within respite program. 
</t>
    </r>
    <r>
      <rPr>
        <b/>
        <sz val="12"/>
        <color theme="1"/>
        <rFont val="Calibri"/>
        <family val="2"/>
        <scheme val="minor"/>
      </rPr>
      <t>• Care planning:</t>
    </r>
    <r>
      <rPr>
        <sz val="12"/>
        <color theme="1"/>
        <rFont val="Calibri"/>
        <family val="2"/>
        <scheme val="minor"/>
      </rPr>
      <t xml:space="preserve"> Able to identify goals of patient (consumer), Ability to develop care plan based on goals of patient and reason for referral/admission to the medical respite/recuperative care program. 
</t>
    </r>
    <r>
      <rPr>
        <b/>
        <sz val="12"/>
        <color theme="1"/>
        <rFont val="Calibri"/>
        <family val="2"/>
        <scheme val="minor"/>
      </rPr>
      <t xml:space="preserve">• Case management: </t>
    </r>
    <r>
      <rPr>
        <sz val="12"/>
        <color theme="1"/>
        <rFont val="Calibri"/>
        <family val="2"/>
        <scheme val="minor"/>
      </rPr>
      <t xml:space="preserve">Ability to identify case management and support services needs, Knowledge of local and community-based organizations and referral processes for services. 
</t>
    </r>
    <r>
      <rPr>
        <b/>
        <sz val="12"/>
        <color theme="1"/>
        <rFont val="Calibri"/>
        <family val="2"/>
        <scheme val="minor"/>
      </rPr>
      <t>• Health navigation:</t>
    </r>
    <r>
      <rPr>
        <sz val="12"/>
        <color theme="1"/>
        <rFont val="Calibri"/>
        <family val="2"/>
        <scheme val="minor"/>
      </rPr>
      <t xml:space="preserve"> Knowledge of resources and steps to fill and refill prescriptions, Knowledge of and ability to connect clients to primary care and community health care providers, Setting up and scheduling appointments with established and new providers, Identifying and scheduling transportation services to attend scheduled appointments, Supporting transferring health information to new and established providers, Identifying additional health needs and supporting client to request needed referrals or navigating intake processes.
</t>
    </r>
    <r>
      <rPr>
        <b/>
        <sz val="12"/>
        <color theme="1"/>
        <rFont val="Calibri"/>
        <family val="2"/>
        <scheme val="minor"/>
      </rPr>
      <t xml:space="preserve">• Referral navigation: </t>
    </r>
    <r>
      <rPr>
        <sz val="12"/>
        <color theme="1"/>
        <rFont val="Calibri"/>
        <family val="2"/>
        <scheme val="minor"/>
      </rPr>
      <t xml:space="preserve">Ability to set-up specialty appointments, Engage with home health agencies, Address and/or support consumer to respond to delays, needed paperwork, or other barriers to attending appointments or receiving home health services, and Identifying and scheduling transportation services to attend appointments.
</t>
    </r>
    <r>
      <rPr>
        <b/>
        <i/>
        <u/>
        <sz val="12"/>
        <color theme="1"/>
        <rFont val="Calibri"/>
        <family val="2"/>
        <scheme val="minor"/>
      </rPr>
      <t>Skills and expertise needed for the Collaborative Clinical Care Model from partnering organizations:                                                                                                                                                 •</t>
    </r>
    <r>
      <rPr>
        <sz val="12"/>
        <color theme="1"/>
        <rFont val="Calibri"/>
        <family val="2"/>
        <scheme val="minor"/>
      </rPr>
      <t xml:space="preserve"> </t>
    </r>
    <r>
      <rPr>
        <b/>
        <sz val="12"/>
        <color theme="1"/>
        <rFont val="Calibri"/>
        <family val="2"/>
        <scheme val="minor"/>
      </rPr>
      <t xml:space="preserve">Medication management: </t>
    </r>
    <r>
      <rPr>
        <sz val="12"/>
        <color theme="1"/>
        <rFont val="Calibri"/>
        <family val="2"/>
        <scheme val="minor"/>
      </rPr>
      <t xml:space="preserve">Medication reconciliation and prescribing; Medication monitoring; Education for medication administration and management; Health and self-management education.
• </t>
    </r>
    <r>
      <rPr>
        <b/>
        <sz val="12"/>
        <color theme="1"/>
        <rFont val="Calibri"/>
        <family val="2"/>
        <scheme val="minor"/>
      </rPr>
      <t xml:space="preserve">Medical care: </t>
    </r>
    <r>
      <rPr>
        <sz val="12"/>
        <color theme="1"/>
        <rFont val="Calibri"/>
        <family val="2"/>
        <scheme val="minor"/>
      </rPr>
      <t xml:space="preserve">Medical exams; Comprehensive nursing care (e.g. wound care, symptom and disease management and education); Assessment of need and referral to specialty care.
</t>
    </r>
    <r>
      <rPr>
        <b/>
        <sz val="12"/>
        <color theme="1"/>
        <rFont val="Calibri"/>
        <family val="2"/>
        <scheme val="minor"/>
      </rPr>
      <t xml:space="preserve">• Behavioral health care: </t>
    </r>
    <r>
      <rPr>
        <sz val="12"/>
        <color theme="1"/>
        <rFont val="Calibri"/>
        <family val="2"/>
        <scheme val="minor"/>
      </rPr>
      <t>Assessment and evaluation; Ongoing therapy and behavioral health support; Prescription of or referral to prescribing provider for psychiatric medication.</t>
    </r>
  </si>
  <si>
    <t>1. The staffing numbers and recommendations below are based on serving 17 number of patients in a respite setting.  To adjust the number of clients, please fill in the blue boxes in Row 12- this will impact your output summary Tab 2 cost estimates. To adjust the number of staff working at your program, please fill in the blue boxes beginning in Row 20.</t>
  </si>
  <si>
    <t>** Agencies may need to adjust caseload sizes depending on patient acuity. The bed number of 17 was selected as this is the average number of beds seen in respite programs nationally. Changing the number of beds should also influence the total number of employees working in the medical respite program, but the FTEs listed in Column D rows 20-24 will need to be edited manually by the user.</t>
  </si>
  <si>
    <t>Collaborative Clinical Care Model MULTI-YEAR BUDGET</t>
  </si>
  <si>
    <t>** Agencies may need to adjust caseload sizes depending on patient acuity. The bed number of 17 was selected as this is the average number of beds seen in respite programs nationally. Changing the number of beds should also influence the total number of employees working in the medical respite program, but the FTEs listed in Column D rows 20-25 will need to be edited manually by the user.</t>
  </si>
  <si>
    <t>Integrated Clinical Medical Respite Staffing &amp; Budget Model</t>
  </si>
  <si>
    <t xml:space="preserve">In Kind /Collaborative Partner Services and staffing </t>
  </si>
  <si>
    <t xml:space="preserve">2. Please complete the blue boxes below with local HR information. </t>
  </si>
  <si>
    <t xml:space="preserve">2. Please complete the blue boxes below with local HR salary information. </t>
  </si>
  <si>
    <t>Per Bed/Client Per Diem Cost (Year 1*)</t>
  </si>
  <si>
    <t>Per Bed/Client Per Month Cost (Year 1*)</t>
  </si>
  <si>
    <t>Per Bed/Client Per Year Cost (Year 1*)</t>
  </si>
  <si>
    <t>Total Number of Beds</t>
  </si>
  <si>
    <t>Case manager</t>
  </si>
  <si>
    <t>Miscellaneous Expenses (Client Emergency Fund, medical and nursing supplies)</t>
  </si>
  <si>
    <t>Comprehensive Clinical Medical Respite Staffing &amp; Budget Model</t>
  </si>
  <si>
    <t>DRAFT  Please send feedback for edits/additions to cheryl.winter@csh.org</t>
  </si>
  <si>
    <t xml:space="preserve">The expenses below are those that your organization might incur when preparing to begin a new service delivery program. While some organizations choose to increase these costs as part of the Year 1 budget, it may also be helpful to create a distinct startup budget. If your organization has not yet hired or trained staff for supportive housing services, you will want to identify which of these costs below you expect to incur in your first year. Some startup costs may also be incurred in future program years if you are continuing to add staff and serve additional patients beyond Year 1. Please include only those expenses that are relevant for your organization along with estimated costs. You may also use the blank lines in each section to add additional expenses not listed.  Costs that you list in this section are aggregated and included in each service model budget under the "StartUp" Column. </t>
  </si>
  <si>
    <t>Start Up Medical Supplies*</t>
  </si>
  <si>
    <t>Medical Supply Recommendations  </t>
  </si>
  <si>
    <t>Quantity </t>
  </si>
  <si>
    <t>Total </t>
  </si>
  <si>
    <t>Bandages </t>
  </si>
  <si>
    <r>
      <t>CS/2,400</t>
    </r>
    <r>
      <rPr>
        <sz val="11"/>
        <color theme="1"/>
        <rFont val="Calibri"/>
        <family val="2"/>
      </rPr>
      <t> </t>
    </r>
  </si>
  <si>
    <r>
      <t>$75</t>
    </r>
    <r>
      <rPr>
        <sz val="11"/>
        <color theme="1"/>
        <rFont val="Calibri"/>
        <family val="2"/>
      </rPr>
      <t> </t>
    </r>
  </si>
  <si>
    <t>Antibiotic Ointments  </t>
  </si>
  <si>
    <r>
      <t>BX/144</t>
    </r>
    <r>
      <rPr>
        <sz val="11"/>
        <color theme="1"/>
        <rFont val="Calibri"/>
        <family val="2"/>
      </rPr>
      <t> </t>
    </r>
  </si>
  <si>
    <r>
      <t>$20</t>
    </r>
    <r>
      <rPr>
        <sz val="11"/>
        <color theme="1"/>
        <rFont val="Calibri"/>
        <family val="2"/>
      </rPr>
      <t> </t>
    </r>
  </si>
  <si>
    <t>Gloves; Nitrile gloves (small, medium, large) </t>
  </si>
  <si>
    <r>
      <t>BX/1,000</t>
    </r>
    <r>
      <rPr>
        <sz val="11"/>
        <color theme="1"/>
        <rFont val="Calibri"/>
        <family val="2"/>
      </rPr>
      <t> </t>
    </r>
  </si>
  <si>
    <t>Aloe Hand Sanitizer </t>
  </si>
  <si>
    <r>
      <t>12 bottles</t>
    </r>
    <r>
      <rPr>
        <sz val="11"/>
        <color theme="1"/>
        <rFont val="Calibri"/>
        <family val="2"/>
      </rPr>
      <t> </t>
    </r>
  </si>
  <si>
    <r>
      <t>$15</t>
    </r>
    <r>
      <rPr>
        <sz val="11"/>
        <color theme="1"/>
        <rFont val="Calibri"/>
        <family val="2"/>
      </rPr>
      <t> </t>
    </r>
  </si>
  <si>
    <t>Biomedical waste containers </t>
  </si>
  <si>
    <r>
      <t>    1</t>
    </r>
    <r>
      <rPr>
        <sz val="11"/>
        <color theme="1"/>
        <rFont val="Calibri"/>
        <family val="2"/>
      </rPr>
      <t> </t>
    </r>
  </si>
  <si>
    <r>
      <t>$500</t>
    </r>
    <r>
      <rPr>
        <sz val="11"/>
        <color theme="1"/>
        <rFont val="Calibri"/>
        <family val="2"/>
      </rPr>
      <t> </t>
    </r>
  </si>
  <si>
    <t>Biomedical waste pick-up </t>
  </si>
  <si>
    <r>
      <t>    1  </t>
    </r>
    <r>
      <rPr>
        <sz val="11"/>
        <color theme="1"/>
        <rFont val="Calibri"/>
        <family val="2"/>
      </rPr>
      <t> </t>
    </r>
  </si>
  <si>
    <t>Hydrogen Peroxide </t>
  </si>
  <si>
    <r>
      <t>1 case</t>
    </r>
    <r>
      <rPr>
        <sz val="11"/>
        <color theme="1"/>
        <rFont val="Calibri"/>
        <family val="2"/>
      </rPr>
      <t> </t>
    </r>
  </si>
  <si>
    <r>
      <t>$25</t>
    </r>
    <r>
      <rPr>
        <sz val="11"/>
        <color theme="1"/>
        <rFont val="Calibri"/>
        <family val="2"/>
      </rPr>
      <t> </t>
    </r>
  </si>
  <si>
    <t>Saline </t>
  </si>
  <si>
    <r>
      <t>$35</t>
    </r>
    <r>
      <rPr>
        <sz val="11"/>
        <color theme="1"/>
        <rFont val="Calibri"/>
        <family val="2"/>
      </rPr>
      <t> </t>
    </r>
  </si>
  <si>
    <t>Betadine swabs </t>
  </si>
  <si>
    <r>
      <t>1 case </t>
    </r>
    <r>
      <rPr>
        <sz val="11"/>
        <color theme="1"/>
        <rFont val="Calibri"/>
        <family val="2"/>
      </rPr>
      <t> </t>
    </r>
  </si>
  <si>
    <t>Scalpel with blade </t>
  </si>
  <si>
    <r>
      <t>Box/10</t>
    </r>
    <r>
      <rPr>
        <sz val="11"/>
        <color theme="1"/>
        <rFont val="Calibri"/>
        <family val="2"/>
      </rPr>
      <t> </t>
    </r>
  </si>
  <si>
    <t>Lancets </t>
  </si>
  <si>
    <r>
      <t>Box/100</t>
    </r>
    <r>
      <rPr>
        <sz val="11"/>
        <color theme="1"/>
        <rFont val="Calibri"/>
        <family val="2"/>
      </rPr>
      <t> </t>
    </r>
  </si>
  <si>
    <t>Alcohol Prep Pads </t>
  </si>
  <si>
    <r>
      <t>Case/4,000</t>
    </r>
    <r>
      <rPr>
        <sz val="11"/>
        <color theme="1"/>
        <rFont val="Calibri"/>
        <family val="2"/>
      </rPr>
      <t> </t>
    </r>
  </si>
  <si>
    <r>
      <t>$40</t>
    </r>
    <r>
      <rPr>
        <sz val="11"/>
        <color theme="1"/>
        <rFont val="Calibri"/>
        <family val="2"/>
      </rPr>
      <t> </t>
    </r>
  </si>
  <si>
    <t>Glucose Test Strips </t>
  </si>
  <si>
    <r>
      <t>50/box</t>
    </r>
    <r>
      <rPr>
        <sz val="11"/>
        <color theme="1"/>
        <rFont val="Calibri"/>
        <family val="2"/>
      </rPr>
      <t> </t>
    </r>
  </si>
  <si>
    <r>
      <t>$50</t>
    </r>
    <r>
      <rPr>
        <sz val="11"/>
        <color theme="1"/>
        <rFont val="Calibri"/>
        <family val="2"/>
      </rPr>
      <t> </t>
    </r>
  </si>
  <si>
    <t>Blood Glucose Meter </t>
  </si>
  <si>
    <r>
      <t>2</t>
    </r>
    <r>
      <rPr>
        <sz val="11"/>
        <color theme="1"/>
        <rFont val="Calibri"/>
        <family val="2"/>
      </rPr>
      <t> </t>
    </r>
  </si>
  <si>
    <r>
      <t>$30</t>
    </r>
    <r>
      <rPr>
        <sz val="11"/>
        <color theme="1"/>
        <rFont val="Calibri"/>
        <family val="2"/>
      </rPr>
      <t> </t>
    </r>
  </si>
  <si>
    <t>Pulse Ox </t>
  </si>
  <si>
    <r>
      <t>1</t>
    </r>
    <r>
      <rPr>
        <sz val="11"/>
        <color theme="1"/>
        <rFont val="Calibri"/>
        <family val="2"/>
      </rPr>
      <t> </t>
    </r>
  </si>
  <si>
    <t>Disinfectant Wipes </t>
  </si>
  <si>
    <r>
      <t>4 boxes</t>
    </r>
    <r>
      <rPr>
        <sz val="11"/>
        <color theme="1"/>
        <rFont val="Calibri"/>
        <family val="2"/>
      </rPr>
      <t> </t>
    </r>
  </si>
  <si>
    <t>Compression Bandages </t>
  </si>
  <si>
    <r>
      <t>10</t>
    </r>
    <r>
      <rPr>
        <sz val="11"/>
        <color theme="1"/>
        <rFont val="Calibri"/>
        <family val="2"/>
      </rPr>
      <t> </t>
    </r>
  </si>
  <si>
    <t>Adhesive Island Dressings </t>
  </si>
  <si>
    <t>Elastic Bandages </t>
  </si>
  <si>
    <r>
      <t>Case/72</t>
    </r>
    <r>
      <rPr>
        <sz val="11"/>
        <color theme="1"/>
        <rFont val="Calibri"/>
        <family val="2"/>
      </rPr>
      <t> </t>
    </r>
  </si>
  <si>
    <r>
      <t>$150</t>
    </r>
    <r>
      <rPr>
        <sz val="11"/>
        <color theme="1"/>
        <rFont val="Calibri"/>
        <family val="2"/>
      </rPr>
      <t> </t>
    </r>
  </si>
  <si>
    <t>Irrigation Syringes </t>
  </si>
  <si>
    <r>
      <t>Case/50</t>
    </r>
    <r>
      <rPr>
        <sz val="11"/>
        <color theme="1"/>
        <rFont val="Calibri"/>
        <family val="2"/>
      </rPr>
      <t> </t>
    </r>
  </si>
  <si>
    <t>Ear Wash System </t>
  </si>
  <si>
    <t>Ear Wash System Tips </t>
  </si>
  <si>
    <r>
      <t>Pk/20</t>
    </r>
    <r>
      <rPr>
        <sz val="11"/>
        <color theme="1"/>
        <rFont val="Calibri"/>
        <family val="2"/>
      </rPr>
      <t> </t>
    </r>
  </si>
  <si>
    <t>Emesis Basin </t>
  </si>
  <si>
    <r>
      <t>Case/250</t>
    </r>
    <r>
      <rPr>
        <sz val="11"/>
        <color theme="1"/>
        <rFont val="Calibri"/>
        <family val="2"/>
      </rPr>
      <t> </t>
    </r>
  </si>
  <si>
    <t>Pregnancy Test Kits </t>
  </si>
  <si>
    <t>2 boxes </t>
  </si>
  <si>
    <t>Weight scale </t>
  </si>
  <si>
    <t>$20 </t>
  </si>
  <si>
    <t>Multipurpose Sharps Container </t>
  </si>
  <si>
    <r>
      <t>4</t>
    </r>
    <r>
      <rPr>
        <sz val="11"/>
        <color theme="1"/>
        <rFont val="Calibri"/>
        <family val="2"/>
      </rPr>
      <t> </t>
    </r>
  </si>
  <si>
    <t>AED </t>
  </si>
  <si>
    <r>
      <t>$1,200</t>
    </r>
    <r>
      <rPr>
        <sz val="11"/>
        <color theme="1"/>
        <rFont val="Calibri"/>
        <family val="2"/>
      </rPr>
      <t> </t>
    </r>
  </si>
  <si>
    <t>Shield Dressing </t>
  </si>
  <si>
    <r>
      <t>Pk/5</t>
    </r>
    <r>
      <rPr>
        <sz val="11"/>
        <color theme="1"/>
        <rFont val="Calibri"/>
        <family val="2"/>
      </rPr>
      <t> </t>
    </r>
  </si>
  <si>
    <t>Nebulizer </t>
  </si>
  <si>
    <t>Minor Procedure Drape </t>
  </si>
  <si>
    <r>
      <t>Box/50</t>
    </r>
    <r>
      <rPr>
        <sz val="11"/>
        <color theme="1"/>
        <rFont val="Calibri"/>
        <family val="2"/>
      </rPr>
      <t> </t>
    </r>
  </si>
  <si>
    <t>Disposable Bib </t>
  </si>
  <si>
    <r>
      <t>CS/500</t>
    </r>
    <r>
      <rPr>
        <sz val="11"/>
        <color theme="1"/>
        <rFont val="Calibri"/>
        <family val="2"/>
      </rPr>
      <t> </t>
    </r>
  </si>
  <si>
    <t>Integrated Wall System </t>
  </si>
  <si>
    <r>
      <t>$1,500</t>
    </r>
    <r>
      <rPr>
        <sz val="11"/>
        <color theme="1"/>
        <rFont val="Calibri"/>
        <family val="2"/>
      </rPr>
      <t> </t>
    </r>
  </si>
  <si>
    <t>Towel Dispenser </t>
  </si>
  <si>
    <t>2 </t>
  </si>
  <si>
    <r>
      <t>$200</t>
    </r>
    <r>
      <rPr>
        <sz val="11"/>
        <color theme="1"/>
        <rFont val="Calibri"/>
        <family val="2"/>
      </rPr>
      <t> </t>
    </r>
  </si>
  <si>
    <t>Salaries during staff orientation</t>
  </si>
  <si>
    <t>Medically tailored meals</t>
  </si>
  <si>
    <t xml:space="preserve">* This budget planning tool is limited to populations where evidence-based research is available.  When research isn't available we drew on promising practices from medical respite programs in California and around the U.S. </t>
  </si>
  <si>
    <t>Consider temporary staffing to cover PTO for employees</t>
  </si>
  <si>
    <t>3 Year Total</t>
  </si>
  <si>
    <t>Are part or some of these salaries covered by another program/ partner agency?</t>
  </si>
  <si>
    <t>Annual Program Costs (Year 1)</t>
  </si>
  <si>
    <t>Rate Estimates</t>
  </si>
  <si>
    <t>This salary amount is covered by another program or partner agency. It will still be included in Total Program Costs (Row 67) and will be added to In Kind (Row 70)***</t>
  </si>
  <si>
    <t>*** If salaries are being paid for by another program and/or staff time is reimbursed by another billable code, do not include these salaries in the Budget Summary Output when using this tool to negotiate rates with managed care organizations. Salaries and staff covered by other programs can be excluded from rate projections by selecting Net on the Budget Summary Output tab 2.</t>
  </si>
  <si>
    <t>Enter the percent of staff  salary covered by other program or partner organization. The Net Program Costs removing these In Kind salaries can be seen in Row 78.</t>
  </si>
  <si>
    <t>Calculate Rate Estimates for Net Program Costs</t>
  </si>
  <si>
    <t>Net Cost Per Bed/Client Per Diem (Year 1*)</t>
  </si>
  <si>
    <t>Net Cost Rate Est.</t>
  </si>
  <si>
    <t>Some programs braid in multiple revenue streams and include In Kind staff time donated by a partner agency. In order to calculate rates that cover Medical Respite costs after removing In Kind revenue, select Yes to using Net Cost Rate Estimates, highlighted in Yellow.</t>
  </si>
  <si>
    <t>Total In Kind Salaries</t>
  </si>
  <si>
    <t>Annual Net Program Costs (Revenue and In Kind sources deducted from Costs)</t>
  </si>
  <si>
    <t>Link to Comprehensive Clinical Care Model Budget Tab</t>
  </si>
  <si>
    <t>** Agencies may need to adjust caseload sizes depending on patient acuity. The bed number of 17 was selected as this is the average number of beds seen in respite programs nationally. Changing the number of beds should also influence the total number of employees working in the medical respite program, but the FTEs listed in Column D rows 19-28 will need to be edited manually by the user.</t>
  </si>
  <si>
    <t>** Agencies may need to adjust caseload sizes depending on patient acuity. The bed number of 17 was selected as this is the average number of beds seen in respite programs nationally. Changing the number of beds should also influence the total number of employees working in the medical respite program, but the FTEs listed in Column D rows 19-24 will need to be edited manually by the user.</t>
  </si>
  <si>
    <t>1. The staffing numbers and recommendations below are based on serving 17 number of patients in a respite setting.  To adjust the number of clients, please fill in the blue boxes in Row 12- this will impact your output summary Tab 2 cost estimates. To adjust the number of staff working at your program, please fill in the blue boxes beginning in Row 23.</t>
  </si>
  <si>
    <t>** Agencies may need to adjust the number of full time employees (FTE) depending on patient acuity and bed numbers. The bed number of 17 was selected as this is the average number of beds seen in respite programs nationally. Changing the number of beds should also influence the total number of employees working in the medical respite program, but the FTEs listed in Column D rows 23-27 will need to be edited manually by the user.</t>
  </si>
  <si>
    <t>* See rows 55-88 for start up medical supplies</t>
  </si>
  <si>
    <t>The 2022 federal rate is $0.625 per mile.</t>
  </si>
  <si>
    <t>The 2022 Federal Mileage reimbursement rate is $.625 per mile. Rates will need to be adjusted based on Federal guidelines each year. You can change this by editing cell H19.</t>
  </si>
  <si>
    <t>Transportation (Staff mileage reimbursement, Uber/taxi)</t>
  </si>
  <si>
    <t>Coordinated Care MULTI-YEAR BUDGET* (with Start-Up)</t>
  </si>
  <si>
    <t>About the Medical Respite Services Budget Tool 1.0 (MRSBT 1.0)</t>
  </si>
  <si>
    <t>2. As organizations explore a varierty of reimbursement strategies, one rate structure alone is unlikely to be sufficient for meeting all program costs due to funding restrictions and other limitations. We encourage braided funding that includes the multiple ways medical respite programs can be funded. For more information on program funding, please review resources located within the Medical Respite Toolkit at www.nimrc.org/medical-respite-recuperative-care-tool-kit/</t>
  </si>
  <si>
    <t xml:space="preserve">Focuses on individualized case management and facilitating connections to community-based resources. This model requires a high intensity of collaboration with community providers to address medical, behavioral health, and social needs. This model includes:                                                                                                                                                                                                                                         •  Individualized Case management/care coordination for medical needs;
• Individualized case management and care coordination for social needs;
• Medication support; 
• Space to engage with home-based clinical services; 
• Screening for and connection to behavioral health and/or substance use resources. </t>
  </si>
  <si>
    <t>About the Coordinated Care Model for medical respite programs:</t>
  </si>
  <si>
    <t xml:space="preserve">Focuses on individualized case management and provides basic onsite medical services. Additional services are offered through community connections and partnerships. This model includes:                                                                                                                                                                                                                                                                                                                                                                                                 • Individualized case management and care coordination for medical needs;
• Individualized case management and care coordination for social needs;
• Provision of basic onsite medical clinical services, within the scope of license of staff and as indicated by discharge instructions;
• Medication management, supervised by licensed clinical staff;
• Space to engage with home-based clinical services;                                                                                                                                                                                                                               
• Screening for and connection to behavioral health and/or substance use resources.
</t>
  </si>
  <si>
    <t>Medical director or prescribing provider (MD, PA, DO, NP)</t>
  </si>
  <si>
    <t xml:space="preserve">Social Worker </t>
  </si>
  <si>
    <t xml:space="preserve">RN </t>
  </si>
  <si>
    <t>Behavioral health technician</t>
  </si>
  <si>
    <t>Medical assistant</t>
  </si>
  <si>
    <t xml:space="preserve">Social worker </t>
  </si>
  <si>
    <t>Program director</t>
  </si>
  <si>
    <t>Additional clinical staff</t>
  </si>
  <si>
    <t xml:space="preserve">Note: The terms medical respite care and recuperative care can be used interchangeably as they describe the same service. </t>
  </si>
  <si>
    <t>Hospital Contracts</t>
  </si>
  <si>
    <r>
      <t xml:space="preserve">Potential staff for delivery of care:                                                                                       </t>
    </r>
    <r>
      <rPr>
        <sz val="12"/>
        <color theme="1"/>
        <rFont val="Calibri"/>
        <family val="2"/>
        <scheme val="minor"/>
      </rPr>
      <t>• Nurse
• Case Manager
• Community Health Worker
• Program Director</t>
    </r>
    <r>
      <rPr>
        <b/>
        <sz val="12"/>
        <color theme="1"/>
        <rFont val="Calibri"/>
        <family val="2"/>
        <scheme val="minor"/>
      </rPr>
      <t xml:space="preserve">
                                                                                                                                                                                                                                                                                                                                                                                                                                                                                                                                                                                                                                                                                                                   </t>
    </r>
  </si>
  <si>
    <r>
      <rPr>
        <b/>
        <sz val="12"/>
        <color theme="1"/>
        <rFont val="Calibri"/>
        <family val="2"/>
        <scheme val="minor"/>
      </rPr>
      <t xml:space="preserve">Potential staff for delivery of care: </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Case Manager
• Community Health Worker
• Program Director
</t>
    </r>
    <r>
      <rPr>
        <b/>
        <sz val="12"/>
        <color theme="1"/>
        <rFont val="Calibri"/>
        <family val="2"/>
        <scheme val="minor"/>
      </rPr>
      <t xml:space="preserve">      </t>
    </r>
    <r>
      <rPr>
        <sz val="12"/>
        <color theme="1"/>
        <rFont val="Calibri"/>
        <family val="2"/>
        <scheme val="minor"/>
      </rPr>
      <t xml:space="preserve">                                                                                                                                                                                                                                                                                                                                                                                                                                                                                                                                                                                                            </t>
    </r>
    <r>
      <rPr>
        <sz val="11"/>
        <color theme="1" tint="0.34998626667073579"/>
        <rFont val="Calibri"/>
        <family val="2"/>
        <scheme val="minor"/>
      </rPr>
      <t xml:space="preserve">                                                                                                    </t>
    </r>
  </si>
  <si>
    <t>Focuses on individualized case management and onsite clinical supports that address the acute health needs of program consumers. Additional services are offered through community connection and partnerships, especially in preparation for transition and discharge.  This model includes:                                                                                                                                                                                                                                                                                                                                                                                            • Individualized case management and care coordination for medical needs;
• Individualized case management and care coordination for social needs;
• Onsite clinical services;                                                                                                                                                                                                                                                                • Connection and transition to primary care provider/health home before discharge if medical needs are managed by onsite clinical staff;
• Medication management;
• Behavioral health and/or substance use services through screening, onsite care, and referrals to community partners;                                                                                                                                                                                                                               
• 24-hour program staffing and on-call medical support;                                                                                                                                                                                                       • Care coordination and space to engage with home-based clinical services.</t>
  </si>
  <si>
    <r>
      <rPr>
        <b/>
        <sz val="12"/>
        <color theme="1"/>
        <rFont val="Calibri"/>
        <family val="2"/>
        <scheme val="minor"/>
      </rPr>
      <t xml:space="preserve">Potential staff for delivery of care:   </t>
    </r>
    <r>
      <rPr>
        <sz val="12"/>
        <color theme="1"/>
        <rFont val="Calibri"/>
        <family val="2"/>
        <scheme val="minor"/>
      </rPr>
      <t xml:space="preserve">                                                                                    • Nurse
• Case Manager
• Community Health Worker
• Medical Director                                                                                     • Social Worker
• Behavioral Health Provider
• Medical Assistant                                                                                   • Peer Support Specialist                                                                          • Behavioral Health Technician
                                                                                                                                                                                                                                                                                                                                                                                                                                                                                                                                                                                                                                                                                                                                              </t>
    </r>
  </si>
  <si>
    <t>Focuses on individualized case management and onsite clinical supports that address the health needs of program consumers. This model is also able to support more intensive medical needs and treatment onsite.  Additional services are offered through community connection and partnerships, especially in preparation for transition and discharge. This model includes:                                                                                                                                                                                                                                                                                                                                                                                          • Individualized case management and care coordination for medical needs;
• Individualized case management and care coordination for social needs;                                                                                                                                                                                                                • Community health worker and/or peer support;      
• Comprehensive onsite clinical services that may include specialty care services, management of chronic conditions in addition to acute medical needs, and management of higher acuity conditions;                                                                                                                                                                                                                                                                                                                                • Connection and transition to primary care provider/health home before discharge if medical needs are managed by onsite clinical staff;
• Medication management;
• Behavioral health and/or substance use services through screening, onsite care, and referrals to community partners;                                                                                                                                                                                                                               
• 24-hour program staffing and on-call medical support;                                                                                                                                                                                                                                              • Care coordination and space to engage with home-based clinical services.</t>
  </si>
  <si>
    <r>
      <rPr>
        <b/>
        <sz val="12"/>
        <color theme="1"/>
        <rFont val="Calibri"/>
        <family val="2"/>
        <scheme val="minor"/>
      </rPr>
      <t>Potential staff for delivery of care:</t>
    </r>
    <r>
      <rPr>
        <sz val="12"/>
        <color theme="1"/>
        <rFont val="Calibri"/>
        <family val="2"/>
        <scheme val="minor"/>
      </rPr>
      <t xml:space="preserve">                                                                                       • Nurse
• Case Manager
• Community Health Worker
• Medical Director                                                                                • Social Worker
• Behavioral Health Provider                                                             • Psychiatrist
• Medical Assistant                                                                              • Substance use counselor                                                                 • Peer Support Specialist                                                                     • Behavioral Health Technician                                                        • SOAR Specialist                                                                                 • Occupational Therapist                                                                   • Physical Therapist
                                                                                                                                                                                                                                                                                                                                                                                                                                                                                                                                                                                                                                                                                                                                                 </t>
    </r>
  </si>
  <si>
    <t>The following are recommended resources to provide background information and support use of this tool. Click on any box below to take you to the corresponding weblink.</t>
  </si>
  <si>
    <t>© National Health Care for the Homeless Council 2023</t>
  </si>
  <si>
    <r>
      <t>This budget planning tool was created in partnership by the National Institute for Medical Respite Care and the Corporation for Supportive Housing (CSH). It was funded by California Health Care Foundation. This tool is intended to provide medical respite care (MRC) providers and funders with a framework for understanding and planning for program costs in medical respite. There are 4 drivers that will impact program budget planning</t>
    </r>
    <r>
      <rPr>
        <sz val="14"/>
        <rFont val="Calibri"/>
        <family val="2"/>
        <scheme val="minor"/>
      </rPr>
      <t>:</t>
    </r>
    <r>
      <rPr>
        <sz val="12"/>
        <rFont val="Calibri"/>
        <family val="2"/>
        <scheme val="minor"/>
      </rPr>
      <t xml:space="preserve"> 
1. Services Staffing Model and whether clinical services are provided onsite by MRC staff or through partner organizations (Four models are presented in Tabs 4-7 of this workbook)
2. Program expenses (dependent on client medical needs, housekeeping and office supplies, nursing supplies and types of clinical care provided)
3. Start Up Costs for new programs (one time costs for beginning a new program)                                                                                                                                                                                                                                                                                                                                                                                                                                                                                        4. Revenue Structure &amp; Reimbursement Restrictions</t>
    </r>
  </si>
  <si>
    <t>All figures are examples only. Salaries are based on national averages for similar positions and are intended to be changed to local estimates by the user. Caseloads and other assumptions are based on best practice drawn from Evidence-Based Practice and promising practices for supportive housing serving the most vulnerable populations within a community.</t>
  </si>
  <si>
    <t>The Budget Summary Output tab is intended to serve as the landing page of cost summaries by staffing model. The information in the green cells below is calculated from data entered into tabs 3-9 that then generates the totals in Columns D-G to help program administrators understand what rates will cover program costs.</t>
  </si>
  <si>
    <t xml:space="preserve">*Note: if you selected to add an annual cost of living increase you will need to enter in the updated year's budget to the annual budget section on the Tab that applies to your program model for the per diem or monthly costs per bed. Rates do not include the start up costs, which are listed in Row 9. </t>
  </si>
  <si>
    <t>The Basic Inputs and Assumptions tab allows the user the option to change certain caseload, staffing, transportation, inflation and other budget assumptions built into the tool. Changing assumptions here in Tab 3 then applies the altered assumptions to Tabs 4-9. Blue cells indicate assumptions that can be changed.</t>
  </si>
  <si>
    <t>Purchase of cell phones for newly hired employees. Ongoing service costs will be included in each annual budget</t>
  </si>
  <si>
    <t>Purchase of mobile wifi hotspots for newly hired employees. Ongoing service costs will be included in each annual budget</t>
  </si>
  <si>
    <t>Purchase of new computers/tables for newly hired employees. Ongoing IT costs will be included in each annual budget</t>
  </si>
  <si>
    <t>© CSH 2022</t>
  </si>
  <si>
    <t>This medical respite budget tool has been adapted, by NIMRC and CSH staff,  using other staffing and service budget tools created by CSH for organizations serving people experiencing and exiting homelessness. For other service budget tools for Permanent Supportive Housing, visit: https://www.csh.org/resources/supportive-housing-services-budgeting-tool/</t>
  </si>
  <si>
    <r>
      <rPr>
        <b/>
        <sz val="12"/>
        <color theme="1"/>
        <rFont val="Calibri"/>
        <family val="2"/>
        <scheme val="minor"/>
      </rPr>
      <t xml:space="preserve">Potential staff for program operations: </t>
    </r>
    <r>
      <rPr>
        <sz val="12"/>
        <color theme="1"/>
        <rFont val="Calibri"/>
        <family val="2"/>
        <scheme val="minor"/>
      </rPr>
      <t xml:space="preserve">
• Program Director
• Facilities/Janitorial
• Non-clinical support staff (e.g. drivers, chef/kitchen staff)     
                                                                                                                                                                                                                                                                                                                                                                                                                                                                                                                                    </t>
    </r>
    <r>
      <rPr>
        <sz val="12"/>
        <color theme="0" tint="-0.499984740745262"/>
        <rFont val="Calibri"/>
        <family val="2"/>
        <scheme val="minor"/>
      </rPr>
      <t xml:space="preserve">    </t>
    </r>
    <r>
      <rPr>
        <i/>
        <sz val="11"/>
        <color theme="1" tint="0.34998626667073579"/>
        <rFont val="Calibri"/>
        <family val="2"/>
        <scheme val="minor"/>
      </rPr>
      <t>Additional notes: Staffing included in budget will be dependent on program partnerships and state requirements for staffing ratios.</t>
    </r>
  </si>
  <si>
    <r>
      <rPr>
        <b/>
        <sz val="12"/>
        <color theme="1"/>
        <rFont val="Calibri"/>
        <family val="2"/>
        <scheme val="minor"/>
      </rPr>
      <t xml:space="preserve">Potential staff for program operations: </t>
    </r>
    <r>
      <rPr>
        <sz val="12"/>
        <color theme="1"/>
        <rFont val="Calibri"/>
        <family val="2"/>
        <scheme val="minor"/>
      </rPr>
      <t xml:space="preserve">
• Program Director
• Facilities/Janitorial
• Non-clinical support staff (e.g. drivers, chef/kitchen staff)              • Non-clinical overnight staff
                                                                                                                                                                                                                                                                                                                                                                                                                                                                                                                                        </t>
    </r>
    <r>
      <rPr>
        <i/>
        <sz val="11"/>
        <color theme="1" tint="0.34998626667073579"/>
        <rFont val="Calibri"/>
        <family val="2"/>
        <scheme val="minor"/>
      </rPr>
      <t>Additional note: Staffing included in budget will be dependent on program partnerships</t>
    </r>
    <r>
      <rPr>
        <i/>
        <sz val="12"/>
        <color theme="1" tint="0.34998626667073579"/>
        <rFont val="Calibri"/>
        <family val="2"/>
        <scheme val="minor"/>
      </rPr>
      <t xml:space="preserve"> and state requirements for staffing ratios.</t>
    </r>
  </si>
  <si>
    <r>
      <t xml:space="preserve">Potential staff for program operations: 
• Program Director
• Facilities/Janitorial
• Non-clinical support staff (e.g. drivers, chef/kitchen staff)                                                            • Non-clinical overnight staff
                                                                                                                                                                                                                                                                                                                                                                                                                                                                                                                                        </t>
    </r>
    <r>
      <rPr>
        <i/>
        <sz val="11"/>
        <color theme="1" tint="0.34998626667073579"/>
        <rFont val="Calibri"/>
        <family val="2"/>
        <scheme val="minor"/>
      </rPr>
      <t>Additional note: Staffing included in budget will be dependent on program partnerships</t>
    </r>
    <r>
      <rPr>
        <i/>
        <sz val="12"/>
        <color theme="1" tint="0.34998626667073579"/>
        <rFont val="Calibri"/>
        <family val="2"/>
        <scheme val="minor"/>
      </rPr>
      <t xml:space="preserve"> and state requirements for staffing ratios.</t>
    </r>
  </si>
  <si>
    <r>
      <t xml:space="preserve">Potential staff for program operations: 
</t>
    </r>
    <r>
      <rPr>
        <sz val="12"/>
        <color theme="1"/>
        <rFont val="Calibri"/>
        <family val="2"/>
        <scheme val="minor"/>
      </rPr>
      <t xml:space="preserve">• Program Director
• Facilities/Janitorial
• Non-clinical support staff (e.g. drivers, chef/kitchen staff)     
                                                                                                                                                                                                                                                                                                                                                                                                                                                                                                                                        </t>
    </r>
    <r>
      <rPr>
        <i/>
        <sz val="11"/>
        <color theme="1" tint="0.34998626667073579"/>
        <rFont val="Calibri"/>
        <family val="2"/>
        <scheme val="minor"/>
      </rPr>
      <t>Additional note: Staffing included in budget will be dependent on program partnerships</t>
    </r>
    <r>
      <rPr>
        <i/>
        <sz val="12"/>
        <color theme="1" tint="0.34998626667073579"/>
        <rFont val="Calibri"/>
        <family val="2"/>
        <scheme val="minor"/>
      </rPr>
      <t xml:space="preserve"> and state requirements for staffing ratios.</t>
    </r>
  </si>
  <si>
    <t>Miscellaneous Expenses (Client Emergency Fund, client supplies)</t>
  </si>
  <si>
    <t>Other Supply Recommendations  </t>
  </si>
  <si>
    <t> </t>
  </si>
  <si>
    <t>Shampoo for clients</t>
  </si>
  <si>
    <t>Soap for clients</t>
  </si>
  <si>
    <t>Wash cloths</t>
  </si>
  <si>
    <t>Bath towels</t>
  </si>
  <si>
    <t>Toothpaste</t>
  </si>
  <si>
    <t>Mouthwash</t>
  </si>
  <si>
    <t>Toothbrushes</t>
  </si>
  <si>
    <t>Denture cleaner</t>
  </si>
  <si>
    <t>Laundry detergent</t>
  </si>
  <si>
    <t>Curtains/blinds for windows</t>
  </si>
  <si>
    <t>Whiteboards for client beds/rooms</t>
  </si>
  <si>
    <t>Whiteboard markers</t>
  </si>
  <si>
    <t>Games for community area</t>
  </si>
  <si>
    <t>Art supplies for community area</t>
  </si>
  <si>
    <t>Books/magazines for community area</t>
  </si>
  <si>
    <t>TVs (for resident rooms or main areas)</t>
  </si>
  <si>
    <t>Socks for clients</t>
  </si>
  <si>
    <t>Underwear for clients</t>
  </si>
  <si>
    <t>Incontinence supplies</t>
  </si>
  <si>
    <t>Shower chairs (if not built into shower)</t>
  </si>
  <si>
    <t>Raised toilet seat</t>
  </si>
  <si>
    <t>Non-slip bathmats</t>
  </si>
  <si>
    <t>Non-slip tread for showers/bathtubs</t>
  </si>
  <si>
    <t>Shower shoes/socks</t>
  </si>
  <si>
    <t>Lotion/vaseline for clients</t>
  </si>
  <si>
    <t>Headphones for client use</t>
  </si>
  <si>
    <t>Sweatpants/ pajamas in varying sizes</t>
  </si>
  <si>
    <t xml:space="preserve">B. OPERATING EXPENSES </t>
  </si>
  <si>
    <t>The 2023 federal rate is $0.625 per mile.</t>
  </si>
  <si>
    <t xml:space="preserve">Coordinated Clinical Care ANNUAL BUDGET without Start Up </t>
  </si>
  <si>
    <t xml:space="preserve">Integrated Clinical Care ANNUAL BUDGET without Start Up </t>
  </si>
  <si>
    <t>Comprehensive Clinical Care ANNUAL BUDGET without Start Up</t>
  </si>
  <si>
    <t>Coordinated Care ANNUAL BUDGET without Start Up expenses</t>
  </si>
  <si>
    <t>Coordinated Clinical Care MULTI-YEAR BUDGET (with start-up)</t>
  </si>
  <si>
    <t>Integrated Clinical Care MULTI-YEAR BUDGET* (with start-up)</t>
  </si>
  <si>
    <t>Comprehensive Clinical Care MULTI-YEAR BUDGET* (with start-up)</t>
  </si>
  <si>
    <t>Miscellaneous Expenses (Client supplies, Client Emergency Fund)</t>
  </si>
  <si>
    <t xml:space="preserve">The term "room and board" is intended to indcate cost for providing a place to sleep and 3 meals/day provided within the program. </t>
  </si>
  <si>
    <t>Meal/kitchen supplies (not included in building renovation)</t>
  </si>
  <si>
    <t>Groceries (for meals, and to provide snacks)</t>
  </si>
  <si>
    <t>Please see Potential Skills and Staffing of Medical Respite Care for guidance in skills/expertise needed for this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</si>
</sst>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8" formatCode="&quot;$&quot;#,##0.00_);[Red]\(&quot;$&quot;#,##0.00\)"/>
    <numFmt numFmtId="44" formatCode="_(&quot;$&quot;* #,##0.00_);_(&quot;$&quot;* \(#,##0.00\);_(&quot;$&quot;* &quot;-&quot;??_);_(@_)"/>
    <numFmt numFmtId="164" formatCode="&quot;$&quot;#,##0"/>
    <numFmt numFmtId="165" formatCode="0.0"/>
    <numFmt numFmtId="166" formatCode="&quot;Based on the # of case managers, we recommend &quot;#&quot; FTE&quot;"/>
    <numFmt numFmtId="167" formatCode="#,##0.0"/>
    <numFmt numFmtId="168" formatCode="&quot;We recommend &quot;&quot;$&quot;#,###&quot; . See 'Assumptions' tab for further information&quot;"/>
    <numFmt numFmtId="169" formatCode="&quot;CSH recommends&quot;\ #\ &quot;staff&quot;"/>
    <numFmt numFmtId="170" formatCode="&quot;Based on the # of tenants, we recommend &quot;#&quot; FTE&quot;"/>
    <numFmt numFmtId="171" formatCode="&quot;$&quot;#,##0.000_);[Red]\(&quot;$&quot;#,##0.000\)"/>
    <numFmt numFmtId="172" formatCode="_(&quot;$&quot;* #,##0.000_);_(&quot;$&quot;* \(#,##0.000\);_(&quot;$&quot;* &quot;-&quot;??_);_(@_)"/>
    <numFmt numFmtId="173" formatCode="0.0%"/>
    <numFmt numFmtId="174" formatCode="&quot;$&quot;#,##0.00"/>
    <numFmt numFmtId="175" formatCode="&quot;$&quot;#,##0.00;[Red]&quot;$&quot;#,##0.00"/>
    <numFmt numFmtId="176" formatCode="&quot;$&quot;#,##0;[Red]&quot;$&quot;#,##0"/>
  </numFmts>
  <fonts count="51">
    <font>
      <sz val="11"/>
      <color theme="1"/>
      <name val="Calibri"/>
      <family val="2"/>
      <scheme val="minor"/>
    </font>
    <font>
      <sz val="12"/>
      <color theme="1"/>
      <name val="Calibri"/>
      <family val="2"/>
      <scheme val="minor"/>
    </font>
    <font>
      <sz val="11"/>
      <color theme="1"/>
      <name val="Calibri"/>
      <family val="2"/>
      <scheme val="minor"/>
    </font>
    <font>
      <sz val="8"/>
      <name val="Arial MT"/>
    </font>
    <font>
      <u/>
      <sz val="11"/>
      <color theme="10"/>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rgb="FFFF0000"/>
      <name val="Calibri"/>
      <family val="2"/>
      <scheme val="minor"/>
    </font>
    <font>
      <i/>
      <sz val="12"/>
      <color theme="1"/>
      <name val="Calibri"/>
      <family val="2"/>
      <scheme val="minor"/>
    </font>
    <font>
      <i/>
      <sz val="12"/>
      <color theme="0"/>
      <name val="Calibri"/>
      <family val="2"/>
      <scheme val="minor"/>
    </font>
    <font>
      <sz val="12"/>
      <color theme="0"/>
      <name val="Calibri"/>
      <family val="2"/>
      <scheme val="minor"/>
    </font>
    <font>
      <sz val="12"/>
      <name val="Calibri"/>
      <family val="2"/>
      <scheme val="minor"/>
    </font>
    <font>
      <b/>
      <sz val="12"/>
      <name val="Calibri"/>
      <family val="2"/>
      <scheme val="minor"/>
    </font>
    <font>
      <i/>
      <sz val="12"/>
      <color rgb="FFFF0000"/>
      <name val="Calibri"/>
      <family val="2"/>
      <scheme val="minor"/>
    </font>
    <font>
      <i/>
      <sz val="12"/>
      <name val="Calibri"/>
      <family val="2"/>
      <scheme val="minor"/>
    </font>
    <font>
      <u/>
      <sz val="12"/>
      <color theme="10"/>
      <name val="Calibri"/>
      <family val="2"/>
      <scheme val="minor"/>
    </font>
    <font>
      <sz val="14"/>
      <color theme="1"/>
      <name val="Calibri"/>
      <family val="2"/>
      <scheme val="minor"/>
    </font>
    <font>
      <b/>
      <sz val="14"/>
      <color theme="1"/>
      <name val="Calibri"/>
      <family val="2"/>
      <scheme val="minor"/>
    </font>
    <font>
      <sz val="14"/>
      <name val="Calibri"/>
      <family val="2"/>
      <scheme val="minor"/>
    </font>
    <font>
      <i/>
      <sz val="14"/>
      <color theme="1"/>
      <name val="Calibri"/>
      <family val="2"/>
      <scheme val="minor"/>
    </font>
    <font>
      <sz val="18"/>
      <color theme="1"/>
      <name val="Calibri"/>
      <family val="2"/>
      <scheme val="minor"/>
    </font>
    <font>
      <i/>
      <sz val="11"/>
      <color theme="1"/>
      <name val="Calibri"/>
      <family val="2"/>
      <scheme val="minor"/>
    </font>
    <font>
      <b/>
      <sz val="12"/>
      <color theme="5"/>
      <name val="Calibri"/>
      <family val="2"/>
      <scheme val="minor"/>
    </font>
    <font>
      <sz val="10"/>
      <color rgb="FF000000"/>
      <name val="Times New Roman"/>
      <family val="1"/>
    </font>
    <font>
      <sz val="10"/>
      <color theme="1"/>
      <name val="Calibri"/>
      <family val="2"/>
      <scheme val="minor"/>
    </font>
    <font>
      <sz val="10"/>
      <name val="Calibri"/>
      <family val="2"/>
      <scheme val="minor"/>
    </font>
    <font>
      <b/>
      <sz val="12"/>
      <color theme="0" tint="-0.14999847407452621"/>
      <name val="Calibri"/>
      <family val="2"/>
      <scheme val="minor"/>
    </font>
    <font>
      <b/>
      <u/>
      <sz val="12"/>
      <color theme="1"/>
      <name val="Calibri"/>
      <family val="2"/>
      <scheme val="minor"/>
    </font>
    <font>
      <b/>
      <u/>
      <sz val="11"/>
      <color theme="10"/>
      <name val="Calibri"/>
      <family val="2"/>
      <scheme val="minor"/>
    </font>
    <font>
      <b/>
      <u/>
      <sz val="12"/>
      <color theme="10"/>
      <name val="Calibri"/>
      <family val="2"/>
      <scheme val="minor"/>
    </font>
    <font>
      <b/>
      <u/>
      <sz val="18"/>
      <color theme="1"/>
      <name val="Calibri"/>
      <family val="2"/>
      <scheme val="minor"/>
    </font>
    <font>
      <b/>
      <sz val="18"/>
      <color theme="1"/>
      <name val="Calibri"/>
      <family val="2"/>
      <scheme val="minor"/>
    </font>
    <font>
      <b/>
      <i/>
      <sz val="12"/>
      <color theme="1"/>
      <name val="Calibri"/>
      <family val="2"/>
      <scheme val="minor"/>
    </font>
    <font>
      <b/>
      <i/>
      <u/>
      <sz val="12"/>
      <color theme="1"/>
      <name val="Calibri"/>
      <family val="2"/>
      <scheme val="minor"/>
    </font>
    <font>
      <b/>
      <sz val="20"/>
      <name val="Calibri"/>
      <family val="2"/>
      <scheme val="minor"/>
    </font>
    <font>
      <b/>
      <sz val="11"/>
      <color theme="1"/>
      <name val="Calibri"/>
      <family val="2"/>
    </font>
    <font>
      <sz val="11"/>
      <color rgb="FF000000"/>
      <name val="Calibri"/>
      <family val="2"/>
    </font>
    <font>
      <sz val="11"/>
      <color theme="1"/>
      <name val="Calibri"/>
      <family val="2"/>
    </font>
    <font>
      <i/>
      <sz val="10"/>
      <color theme="1"/>
      <name val="Calibri"/>
      <family val="2"/>
      <scheme val="minor"/>
    </font>
    <font>
      <i/>
      <sz val="16"/>
      <color theme="1"/>
      <name val="Calibri"/>
      <family val="2"/>
      <scheme val="minor"/>
    </font>
    <font>
      <b/>
      <i/>
      <sz val="14"/>
      <color theme="1"/>
      <name val="Calibri"/>
      <family val="2"/>
      <scheme val="minor"/>
    </font>
    <font>
      <sz val="11"/>
      <color theme="1" tint="0.34998626667073579"/>
      <name val="Calibri"/>
      <family val="2"/>
      <scheme val="minor"/>
    </font>
    <font>
      <i/>
      <sz val="11"/>
      <color theme="1" tint="0.34998626667073579"/>
      <name val="Calibri"/>
      <family val="2"/>
      <scheme val="minor"/>
    </font>
    <font>
      <b/>
      <sz val="16"/>
      <color theme="1"/>
      <name val="Calibri"/>
      <family val="2"/>
      <scheme val="minor"/>
    </font>
    <font>
      <sz val="12"/>
      <color theme="0" tint="-0.499984740745262"/>
      <name val="Calibri"/>
      <family val="2"/>
      <scheme val="minor"/>
    </font>
    <font>
      <sz val="11"/>
      <name val="Calibri"/>
      <family val="2"/>
      <scheme val="minor"/>
    </font>
    <font>
      <i/>
      <sz val="12"/>
      <color theme="1" tint="0.34998626667073579"/>
      <name val="Calibri"/>
      <family val="2"/>
      <scheme val="minor"/>
    </font>
    <font>
      <b/>
      <sz val="11"/>
      <color theme="1"/>
      <name val="Calibri"/>
      <family val="2"/>
      <scheme val="minor"/>
    </font>
    <font>
      <b/>
      <sz val="14"/>
      <color theme="0"/>
      <name val="Calibri"/>
      <family val="2"/>
      <scheme val="minor"/>
    </font>
    <font>
      <b/>
      <u/>
      <sz val="14"/>
      <color rgb="FF00B0F0"/>
      <name val="Calibri"/>
      <family val="2"/>
      <scheme val="minor"/>
    </font>
  </fonts>
  <fills count="13">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bgColor indexed="64"/>
      </patternFill>
    </fill>
    <fill>
      <patternFill patternType="solid">
        <fgColor rgb="FFE2F0D9"/>
        <bgColor indexed="64"/>
      </patternFill>
    </fill>
    <fill>
      <patternFill patternType="solid">
        <fgColor theme="2"/>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thin">
        <color indexed="64"/>
      </bottom>
      <diagonal/>
    </border>
    <border>
      <left style="mediumDashDot">
        <color theme="5"/>
      </left>
      <right/>
      <top style="mediumDashDot">
        <color theme="5"/>
      </top>
      <bottom/>
      <diagonal/>
    </border>
    <border>
      <left/>
      <right/>
      <top style="mediumDashDot">
        <color theme="5"/>
      </top>
      <bottom/>
      <diagonal/>
    </border>
    <border>
      <left/>
      <right style="mediumDashDot">
        <color theme="5"/>
      </right>
      <top style="mediumDashDot">
        <color theme="5"/>
      </top>
      <bottom/>
      <diagonal/>
    </border>
    <border>
      <left/>
      <right style="mediumDashDot">
        <color theme="5"/>
      </right>
      <top/>
      <bottom/>
      <diagonal/>
    </border>
    <border>
      <left style="mediumDashDot">
        <color theme="5"/>
      </left>
      <right/>
      <top/>
      <bottom style="mediumDashDot">
        <color theme="5"/>
      </bottom>
      <diagonal/>
    </border>
    <border>
      <left/>
      <right/>
      <top/>
      <bottom style="mediumDashDot">
        <color theme="5"/>
      </bottom>
      <diagonal/>
    </border>
    <border>
      <left/>
      <right style="mediumDashDot">
        <color theme="5"/>
      </right>
      <top/>
      <bottom style="mediumDashDot">
        <color theme="5"/>
      </bottom>
      <diagonal/>
    </border>
    <border>
      <left style="mediumDashDot">
        <color theme="5"/>
      </left>
      <right/>
      <top/>
      <bottom/>
      <diagonal/>
    </border>
    <border>
      <left style="thin">
        <color rgb="FF000000"/>
      </left>
      <right/>
      <top style="thin">
        <color rgb="FF000000"/>
      </top>
      <bottom style="mediumDashDot">
        <color theme="5"/>
      </bottom>
      <diagonal/>
    </border>
    <border>
      <left style="thin">
        <color rgb="FF000000"/>
      </left>
      <right style="thin">
        <color rgb="FF000000"/>
      </right>
      <top style="thin">
        <color rgb="FF000000"/>
      </top>
      <bottom style="mediumDashDot">
        <color theme="5"/>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3" fillId="0" borderId="0"/>
    <xf numFmtId="9" fontId="2" fillId="0" borderId="0" applyFont="0" applyFill="0" applyBorder="0" applyAlignment="0" applyProtection="0"/>
    <xf numFmtId="0" fontId="4" fillId="0" borderId="0" applyNumberFormat="0" applyFill="0" applyBorder="0" applyAlignment="0" applyProtection="0"/>
    <xf numFmtId="44" fontId="2" fillId="0" borderId="0" applyFont="0" applyFill="0" applyBorder="0" applyAlignment="0" applyProtection="0"/>
    <xf numFmtId="0" fontId="24" fillId="0" borderId="0"/>
  </cellStyleXfs>
  <cellXfs count="424">
    <xf numFmtId="0" fontId="0" fillId="0" borderId="0" xfId="0"/>
    <xf numFmtId="0" fontId="5" fillId="2" borderId="0" xfId="0" applyFont="1" applyFill="1" applyAlignment="1" applyProtection="1">
      <alignment horizontal="left"/>
      <protection locked="0"/>
    </xf>
    <xf numFmtId="0" fontId="6" fillId="2" borderId="0" xfId="0" applyFont="1" applyFill="1" applyProtection="1">
      <protection locked="0"/>
    </xf>
    <xf numFmtId="0" fontId="5" fillId="2" borderId="0" xfId="0" applyFont="1" applyFill="1" applyProtection="1">
      <protection locked="0"/>
    </xf>
    <xf numFmtId="0" fontId="5" fillId="0" borderId="0" xfId="0" applyFont="1" applyProtection="1">
      <protection locked="0"/>
    </xf>
    <xf numFmtId="0" fontId="7" fillId="0" borderId="0" xfId="0" applyFont="1" applyAlignment="1" applyProtection="1">
      <alignment horizontal="centerContinuous" vertical="center"/>
      <protection locked="0"/>
    </xf>
    <xf numFmtId="0" fontId="5" fillId="0" borderId="0" xfId="0" applyFont="1" applyAlignment="1" applyProtection="1">
      <alignment horizontal="centerContinuous"/>
      <protection locked="0"/>
    </xf>
    <xf numFmtId="1" fontId="5" fillId="0" borderId="0" xfId="0" applyNumberFormat="1" applyFont="1" applyAlignment="1" applyProtection="1">
      <alignment horizontal="centerContinuous" vertical="center"/>
      <protection locked="0"/>
    </xf>
    <xf numFmtId="1" fontId="5" fillId="0" borderId="0" xfId="0" applyNumberFormat="1" applyFont="1" applyProtection="1">
      <protection locked="0"/>
    </xf>
    <xf numFmtId="0" fontId="7" fillId="0" borderId="0" xfId="0" applyFont="1" applyProtection="1">
      <protection locked="0"/>
    </xf>
    <xf numFmtId="1" fontId="5" fillId="0" borderId="0" xfId="0" applyNumberFormat="1" applyFont="1" applyAlignment="1" applyProtection="1">
      <alignment horizontal="left" vertical="center"/>
      <protection locked="0"/>
    </xf>
    <xf numFmtId="0" fontId="8" fillId="0" borderId="0" xfId="0" applyFont="1" applyProtection="1">
      <protection locked="0"/>
    </xf>
    <xf numFmtId="0" fontId="9" fillId="0" borderId="0" xfId="0" applyFont="1" applyProtection="1">
      <protection locked="0"/>
    </xf>
    <xf numFmtId="1" fontId="9" fillId="0" borderId="0" xfId="0" applyNumberFormat="1" applyFont="1" applyAlignment="1" applyProtection="1">
      <alignment horizontal="center" vertical="center"/>
      <protection locked="0"/>
    </xf>
    <xf numFmtId="1" fontId="10" fillId="0" borderId="0" xfId="0" applyNumberFormat="1" applyFont="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5" fillId="3" borderId="3" xfId="0" applyFont="1" applyFill="1" applyBorder="1" applyAlignment="1" applyProtection="1">
      <alignment vertical="center"/>
      <protection locked="0"/>
    </xf>
    <xf numFmtId="3" fontId="5" fillId="3" borderId="1" xfId="0" applyNumberFormat="1" applyFont="1" applyFill="1" applyBorder="1" applyAlignment="1" applyProtection="1">
      <alignment horizontal="center" vertical="center"/>
      <protection locked="0"/>
    </xf>
    <xf numFmtId="0" fontId="11" fillId="0" borderId="0" xfId="0" applyFont="1" applyAlignment="1" applyProtection="1">
      <alignment horizontal="center"/>
      <protection locked="0"/>
    </xf>
    <xf numFmtId="0" fontId="5" fillId="0" borderId="10" xfId="0" applyFont="1" applyBorder="1" applyProtection="1">
      <protection locked="0"/>
    </xf>
    <xf numFmtId="3" fontId="5" fillId="0" borderId="17" xfId="0" applyNumberFormat="1" applyFont="1" applyBorder="1" applyAlignment="1" applyProtection="1">
      <alignment horizontal="center"/>
      <protection locked="0"/>
    </xf>
    <xf numFmtId="0" fontId="9" fillId="0" borderId="0" xfId="0" applyFont="1" applyAlignment="1" applyProtection="1">
      <alignment horizontal="center" vertical="center"/>
      <protection locked="0"/>
    </xf>
    <xf numFmtId="0" fontId="5" fillId="0" borderId="12" xfId="0" applyFont="1" applyBorder="1" applyProtection="1">
      <protection locked="0"/>
    </xf>
    <xf numFmtId="167" fontId="5" fillId="3" borderId="13" xfId="0" applyNumberFormat="1" applyFont="1" applyFill="1" applyBorder="1" applyAlignment="1" applyProtection="1">
      <alignment horizontal="center" vertical="center"/>
      <protection locked="0"/>
    </xf>
    <xf numFmtId="164" fontId="5" fillId="3" borderId="3" xfId="0" applyNumberFormat="1" applyFont="1" applyFill="1" applyBorder="1" applyAlignment="1" applyProtection="1">
      <alignment horizontal="center" vertical="center"/>
      <protection locked="0"/>
    </xf>
    <xf numFmtId="0" fontId="5" fillId="0" borderId="12" xfId="0" applyFont="1" applyBorder="1" applyAlignment="1" applyProtection="1">
      <alignment wrapText="1"/>
      <protection locked="0"/>
    </xf>
    <xf numFmtId="0" fontId="12" fillId="0" borderId="0" xfId="0" applyFont="1" applyProtection="1">
      <protection locked="0"/>
    </xf>
    <xf numFmtId="1" fontId="5" fillId="0" borderId="0" xfId="0" applyNumberFormat="1" applyFont="1" applyAlignment="1" applyProtection="1">
      <alignment horizontal="center" vertical="center"/>
      <protection locked="0"/>
    </xf>
    <xf numFmtId="1" fontId="5" fillId="0" borderId="1" xfId="0" applyNumberFormat="1" applyFont="1" applyBorder="1" applyProtection="1">
      <protection locked="0"/>
    </xf>
    <xf numFmtId="165" fontId="5" fillId="3" borderId="1"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left" vertical="center"/>
      <protection locked="0"/>
    </xf>
    <xf numFmtId="9" fontId="5" fillId="3" borderId="1" xfId="2" applyFont="1" applyFill="1" applyBorder="1" applyAlignment="1" applyProtection="1">
      <alignment horizontal="center" vertical="center"/>
      <protection locked="0"/>
    </xf>
    <xf numFmtId="1" fontId="5" fillId="0" borderId="18" xfId="0" applyNumberFormat="1" applyFont="1" applyBorder="1" applyAlignment="1" applyProtection="1">
      <alignment horizontal="left" vertical="center"/>
      <protection locked="0"/>
    </xf>
    <xf numFmtId="165" fontId="5" fillId="3" borderId="18" xfId="0" applyNumberFormat="1" applyFont="1" applyFill="1" applyBorder="1" applyAlignment="1" applyProtection="1">
      <alignment horizontal="center" vertical="center"/>
      <protection locked="0"/>
    </xf>
    <xf numFmtId="1" fontId="5" fillId="0" borderId="16" xfId="0" applyNumberFormat="1" applyFont="1" applyBorder="1" applyAlignment="1" applyProtection="1">
      <alignment horizontal="left" vertical="center"/>
      <protection locked="0"/>
    </xf>
    <xf numFmtId="3" fontId="5" fillId="0" borderId="16" xfId="0" applyNumberFormat="1" applyFont="1" applyBorder="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0" fontId="13" fillId="0" borderId="0" xfId="1" applyFont="1" applyAlignment="1" applyProtection="1">
      <alignment horizontal="center"/>
      <protection locked="0"/>
    </xf>
    <xf numFmtId="0" fontId="12" fillId="0" borderId="26" xfId="1" applyFont="1" applyBorder="1" applyAlignment="1" applyProtection="1">
      <alignment horizontal="left"/>
      <protection locked="0"/>
    </xf>
    <xf numFmtId="6" fontId="12" fillId="0" borderId="24" xfId="1" applyNumberFormat="1" applyFont="1" applyBorder="1" applyProtection="1">
      <protection locked="0"/>
    </xf>
    <xf numFmtId="0" fontId="12" fillId="0" borderId="0" xfId="1" applyFont="1" applyProtection="1">
      <protection locked="0"/>
    </xf>
    <xf numFmtId="0" fontId="12" fillId="0" borderId="19" xfId="1" applyFont="1" applyBorder="1" applyAlignment="1" applyProtection="1">
      <alignment horizontal="left" indent="2"/>
      <protection locked="0"/>
    </xf>
    <xf numFmtId="6" fontId="12" fillId="0" borderId="20" xfId="1" applyNumberFormat="1" applyFont="1" applyBorder="1" applyProtection="1">
      <protection locked="0"/>
    </xf>
    <xf numFmtId="6" fontId="12" fillId="0" borderId="0" xfId="1" applyNumberFormat="1" applyFont="1" applyProtection="1">
      <protection locked="0"/>
    </xf>
    <xf numFmtId="6" fontId="12" fillId="3" borderId="20" xfId="1" applyNumberFormat="1" applyFont="1" applyFill="1" applyBorder="1" applyProtection="1">
      <protection locked="0"/>
    </xf>
    <xf numFmtId="6" fontId="12" fillId="3" borderId="22" xfId="1" applyNumberFormat="1" applyFont="1" applyFill="1" applyBorder="1" applyProtection="1">
      <protection locked="0"/>
    </xf>
    <xf numFmtId="0" fontId="12" fillId="0" borderId="23" xfId="1" applyFont="1" applyBorder="1" applyAlignment="1" applyProtection="1">
      <alignment horizontal="right"/>
      <protection locked="0"/>
    </xf>
    <xf numFmtId="0" fontId="12" fillId="0" borderId="23" xfId="1" applyFont="1" applyBorder="1" applyAlignment="1" applyProtection="1">
      <alignment horizontal="right" wrapText="1"/>
      <protection locked="0"/>
    </xf>
    <xf numFmtId="0" fontId="12" fillId="0" borderId="19" xfId="1" applyFont="1" applyBorder="1" applyProtection="1">
      <protection locked="0"/>
    </xf>
    <xf numFmtId="0" fontId="12" fillId="0" borderId="19" xfId="1" applyFont="1" applyBorder="1" applyAlignment="1" applyProtection="1">
      <alignment wrapText="1"/>
      <protection locked="0"/>
    </xf>
    <xf numFmtId="0" fontId="12" fillId="0" borderId="19" xfId="1" applyFont="1" applyBorder="1" applyAlignment="1" applyProtection="1">
      <alignment horizontal="left" wrapText="1" indent="2"/>
      <protection locked="0"/>
    </xf>
    <xf numFmtId="168" fontId="9" fillId="0" borderId="7" xfId="0" applyNumberFormat="1" applyFont="1" applyBorder="1" applyAlignment="1" applyProtection="1">
      <alignment horizontal="left" vertical="center"/>
      <protection locked="0"/>
    </xf>
    <xf numFmtId="8" fontId="12" fillId="3" borderId="20" xfId="1" applyNumberFormat="1" applyFont="1" applyFill="1" applyBorder="1" applyProtection="1">
      <protection locked="0"/>
    </xf>
    <xf numFmtId="38" fontId="12" fillId="3" borderId="20" xfId="1" applyNumberFormat="1" applyFont="1" applyFill="1" applyBorder="1" applyProtection="1">
      <protection locked="0"/>
    </xf>
    <xf numFmtId="168" fontId="9" fillId="0" borderId="0" xfId="0" applyNumberFormat="1" applyFont="1" applyAlignment="1" applyProtection="1">
      <alignment horizontal="left" vertical="center" indent="1"/>
      <protection locked="0"/>
    </xf>
    <xf numFmtId="0" fontId="12" fillId="0" borderId="25" xfId="1" applyFont="1" applyBorder="1" applyAlignment="1" applyProtection="1">
      <alignment horizontal="left" wrapText="1" indent="2"/>
      <protection locked="0"/>
    </xf>
    <xf numFmtId="0" fontId="12" fillId="0" borderId="26" xfId="1" applyFont="1" applyBorder="1" applyAlignment="1" applyProtection="1">
      <alignment horizontal="right"/>
      <protection locked="0"/>
    </xf>
    <xf numFmtId="0" fontId="12" fillId="0" borderId="26" xfId="1" applyFont="1" applyBorder="1" applyAlignment="1" applyProtection="1">
      <alignment horizontal="right" wrapText="1"/>
      <protection locked="0"/>
    </xf>
    <xf numFmtId="6" fontId="12" fillId="0" borderId="22" xfId="1" applyNumberFormat="1" applyFont="1" applyBorder="1" applyProtection="1">
      <protection locked="0"/>
    </xf>
    <xf numFmtId="0" fontId="12" fillId="0" borderId="19" xfId="1" applyFont="1" applyBorder="1" applyAlignment="1" applyProtection="1">
      <alignment horizontal="center" wrapText="1"/>
      <protection locked="0"/>
    </xf>
    <xf numFmtId="0" fontId="12" fillId="0" borderId="25" xfId="1" applyFont="1" applyBorder="1" applyAlignment="1" applyProtection="1">
      <alignment horizontal="left" indent="2"/>
      <protection locked="0"/>
    </xf>
    <xf numFmtId="0" fontId="12" fillId="0" borderId="25" xfId="1" applyFont="1" applyBorder="1" applyAlignment="1" applyProtection="1">
      <alignment horizontal="center"/>
      <protection locked="0"/>
    </xf>
    <xf numFmtId="0" fontId="12" fillId="0" borderId="22" xfId="1" applyFont="1" applyBorder="1" applyProtection="1">
      <protection locked="0"/>
    </xf>
    <xf numFmtId="0" fontId="12" fillId="0" borderId="25" xfId="1" applyFont="1" applyBorder="1" applyAlignment="1" applyProtection="1">
      <alignment horizontal="center" wrapText="1"/>
      <protection locked="0"/>
    </xf>
    <xf numFmtId="6" fontId="12" fillId="0" borderId="9" xfId="1" applyNumberFormat="1" applyFont="1" applyBorder="1" applyProtection="1">
      <protection locked="0"/>
    </xf>
    <xf numFmtId="10" fontId="5" fillId="3" borderId="0" xfId="2" applyNumberFormat="1" applyFont="1" applyFill="1" applyProtection="1">
      <protection locked="0"/>
    </xf>
    <xf numFmtId="0" fontId="6" fillId="2" borderId="0" xfId="0" applyFont="1" applyFill="1" applyAlignment="1" applyProtection="1">
      <alignment wrapText="1"/>
      <protection locked="0"/>
    </xf>
    <xf numFmtId="0" fontId="9" fillId="0" borderId="0" xfId="0" applyFont="1" applyAlignment="1" applyProtection="1">
      <alignment wrapText="1"/>
      <protection locked="0"/>
    </xf>
    <xf numFmtId="0" fontId="5" fillId="3" borderId="6" xfId="0" applyFont="1" applyFill="1" applyBorder="1" applyAlignment="1" applyProtection="1">
      <alignment vertical="center"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wrapText="1"/>
      <protection locked="0"/>
    </xf>
    <xf numFmtId="3" fontId="5" fillId="0" borderId="0" xfId="0" applyNumberFormat="1" applyFont="1" applyAlignment="1" applyProtection="1">
      <alignment horizontal="center"/>
      <protection locked="0"/>
    </xf>
    <xf numFmtId="0" fontId="12"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5" fillId="0" borderId="5" xfId="0" applyFont="1" applyBorder="1" applyAlignment="1" applyProtection="1">
      <alignment wrapText="1"/>
      <protection locked="0"/>
    </xf>
    <xf numFmtId="1" fontId="5" fillId="0" borderId="0" xfId="0" applyNumberFormat="1" applyFont="1" applyAlignment="1" applyProtection="1">
      <alignment horizontal="left" vertical="center" wrapText="1"/>
      <protection locked="0"/>
    </xf>
    <xf numFmtId="165" fontId="5" fillId="0" borderId="0" xfId="0" applyNumberFormat="1" applyFont="1" applyProtection="1">
      <protection locked="0"/>
    </xf>
    <xf numFmtId="168" fontId="14" fillId="0" borderId="0" xfId="0" applyNumberFormat="1" applyFont="1" applyAlignment="1" applyProtection="1">
      <alignment horizontal="left" vertical="center" indent="1"/>
      <protection locked="0"/>
    </xf>
    <xf numFmtId="6" fontId="12" fillId="0" borderId="0" xfId="1" applyNumberFormat="1" applyFont="1" applyAlignment="1" applyProtection="1">
      <alignment horizontal="left" vertical="top" wrapText="1"/>
      <protection locked="0"/>
    </xf>
    <xf numFmtId="0" fontId="5" fillId="2" borderId="0" xfId="0" applyFont="1" applyFill="1" applyAlignment="1">
      <alignment horizontal="left"/>
    </xf>
    <xf numFmtId="0" fontId="6" fillId="2" borderId="0" xfId="0" applyFont="1" applyFill="1"/>
    <xf numFmtId="0" fontId="5" fillId="2" borderId="0" xfId="0" applyFont="1" applyFill="1"/>
    <xf numFmtId="0" fontId="5" fillId="0" borderId="0" xfId="0" applyFont="1"/>
    <xf numFmtId="0" fontId="7" fillId="0" borderId="0" xfId="0" applyFont="1" applyAlignment="1">
      <alignment horizontal="centerContinuous" vertical="center"/>
    </xf>
    <xf numFmtId="0" fontId="5" fillId="0" borderId="0" xfId="0" applyFont="1" applyAlignment="1">
      <alignment horizontal="centerContinuous"/>
    </xf>
    <xf numFmtId="1" fontId="5" fillId="0" borderId="0" xfId="0" applyNumberFormat="1" applyFont="1" applyAlignment="1">
      <alignment horizontal="centerContinuous" vertical="center"/>
    </xf>
    <xf numFmtId="1" fontId="5" fillId="0" borderId="0" xfId="0" applyNumberFormat="1" applyFont="1"/>
    <xf numFmtId="0" fontId="7" fillId="0" borderId="0" xfId="0" applyFont="1"/>
    <xf numFmtId="1" fontId="5" fillId="0" borderId="0" xfId="0" applyNumberFormat="1" applyFont="1" applyAlignment="1">
      <alignment horizontal="left" vertical="center"/>
    </xf>
    <xf numFmtId="0" fontId="5" fillId="0" borderId="1" xfId="0" applyFont="1" applyBorder="1" applyAlignment="1">
      <alignment vertical="center"/>
    </xf>
    <xf numFmtId="0" fontId="5" fillId="3" borderId="1" xfId="0" applyFont="1" applyFill="1" applyBorder="1" applyAlignment="1">
      <alignment horizontal="center" vertical="center"/>
    </xf>
    <xf numFmtId="0" fontId="5" fillId="0" borderId="1" xfId="0" applyFont="1" applyBorder="1" applyAlignment="1">
      <alignment horizontal="left" wrapText="1"/>
    </xf>
    <xf numFmtId="1" fontId="5" fillId="0" borderId="0" xfId="0" applyNumberFormat="1" applyFont="1" applyAlignment="1" applyProtection="1">
      <alignment horizontal="centerContinuous"/>
      <protection locked="0"/>
    </xf>
    <xf numFmtId="1" fontId="9" fillId="0" borderId="0" xfId="0" applyNumberFormat="1" applyFont="1" applyAlignment="1" applyProtection="1">
      <alignment horizontal="center" vertical="top" wrapText="1"/>
      <protection locked="0"/>
    </xf>
    <xf numFmtId="0" fontId="7" fillId="0" borderId="27" xfId="0" applyFont="1" applyBorder="1"/>
    <xf numFmtId="0" fontId="5" fillId="0" borderId="27" xfId="0" applyFont="1" applyBorder="1"/>
    <xf numFmtId="1" fontId="5" fillId="0" borderId="27" xfId="0" applyNumberFormat="1" applyFont="1" applyBorder="1" applyAlignment="1">
      <alignment horizontal="left" vertical="center"/>
    </xf>
    <xf numFmtId="1" fontId="5" fillId="0" borderId="27" xfId="0" applyNumberFormat="1" applyFont="1" applyBorder="1"/>
    <xf numFmtId="0" fontId="8" fillId="0" borderId="0" xfId="0" applyFont="1"/>
    <xf numFmtId="0" fontId="16" fillId="0" borderId="0" xfId="3" applyFont="1"/>
    <xf numFmtId="171" fontId="12" fillId="3" borderId="20" xfId="1" applyNumberFormat="1" applyFont="1" applyFill="1" applyBorder="1" applyProtection="1">
      <protection locked="0"/>
    </xf>
    <xf numFmtId="6" fontId="12" fillId="0" borderId="1" xfId="1" applyNumberFormat="1" applyFont="1" applyBorder="1" applyProtection="1">
      <protection locked="0"/>
    </xf>
    <xf numFmtId="0" fontId="12" fillId="0" borderId="21" xfId="1" applyFont="1" applyBorder="1" applyAlignment="1" applyProtection="1">
      <alignment horizontal="left" wrapText="1" indent="2"/>
      <protection locked="0"/>
    </xf>
    <xf numFmtId="0" fontId="15" fillId="0" borderId="19" xfId="1" applyFont="1" applyBorder="1" applyAlignment="1" applyProtection="1">
      <alignment horizontal="left" indent="4"/>
      <protection locked="0"/>
    </xf>
    <xf numFmtId="0" fontId="15" fillId="0" borderId="19" xfId="1" applyFont="1" applyBorder="1" applyAlignment="1" applyProtection="1">
      <alignment horizontal="left" wrapText="1" indent="4"/>
      <protection locked="0"/>
    </xf>
    <xf numFmtId="0" fontId="15" fillId="0" borderId="19" xfId="1" applyFont="1" applyBorder="1" applyAlignment="1" applyProtection="1">
      <alignment horizontal="left" wrapText="1" indent="5"/>
      <protection locked="0"/>
    </xf>
    <xf numFmtId="0" fontId="13" fillId="0" borderId="26" xfId="1" applyFont="1" applyBorder="1" applyAlignment="1" applyProtection="1">
      <alignment horizontal="left" wrapText="1"/>
      <protection locked="0"/>
    </xf>
    <xf numFmtId="0" fontId="13" fillId="0" borderId="19" xfId="1" applyFont="1" applyBorder="1" applyAlignment="1" applyProtection="1">
      <alignment horizontal="left" wrapText="1"/>
      <protection locked="0"/>
    </xf>
    <xf numFmtId="0" fontId="13" fillId="0" borderId="25" xfId="1" applyFont="1" applyBorder="1" applyAlignment="1" applyProtection="1">
      <alignment horizontal="left" wrapText="1"/>
      <protection locked="0"/>
    </xf>
    <xf numFmtId="0" fontId="13" fillId="0" borderId="8" xfId="1" applyFont="1" applyBorder="1" applyAlignment="1" applyProtection="1">
      <alignment horizontal="left" wrapText="1"/>
      <protection locked="0"/>
    </xf>
    <xf numFmtId="0" fontId="13" fillId="0" borderId="19" xfId="1" applyFont="1" applyBorder="1" applyAlignment="1" applyProtection="1">
      <alignment horizontal="left"/>
      <protection locked="0"/>
    </xf>
    <xf numFmtId="0" fontId="13" fillId="0" borderId="26" xfId="1" applyFont="1" applyBorder="1" applyAlignment="1" applyProtection="1">
      <alignment horizontal="left"/>
      <protection locked="0"/>
    </xf>
    <xf numFmtId="0" fontId="13" fillId="0" borderId="25" xfId="1" applyFont="1" applyBorder="1" applyAlignment="1" applyProtection="1">
      <alignment horizontal="left"/>
      <protection locked="0"/>
    </xf>
    <xf numFmtId="0" fontId="13" fillId="0" borderId="8" xfId="1" applyFont="1" applyBorder="1" applyAlignment="1" applyProtection="1">
      <alignment horizontal="left"/>
      <protection locked="0"/>
    </xf>
    <xf numFmtId="0" fontId="15" fillId="0" borderId="19" xfId="1" applyFont="1" applyBorder="1" applyAlignment="1" applyProtection="1">
      <alignment horizontal="left" indent="3"/>
      <protection locked="0"/>
    </xf>
    <xf numFmtId="0" fontId="15" fillId="0" borderId="19" xfId="1" applyFont="1" applyBorder="1" applyAlignment="1" applyProtection="1">
      <alignment horizontal="left" wrapText="1" indent="3"/>
      <protection locked="0"/>
    </xf>
    <xf numFmtId="167" fontId="9" fillId="0" borderId="0" xfId="0" applyNumberFormat="1" applyFont="1" applyAlignment="1" applyProtection="1">
      <alignment horizontal="center" vertical="center"/>
      <protection locked="0"/>
    </xf>
    <xf numFmtId="164" fontId="5" fillId="0" borderId="0" xfId="0" applyNumberFormat="1" applyFont="1" applyAlignment="1" applyProtection="1">
      <alignment horizontal="center" vertical="center"/>
      <protection locked="0"/>
    </xf>
    <xf numFmtId="169" fontId="9" fillId="0" borderId="0" xfId="0" applyNumberFormat="1" applyFont="1" applyAlignment="1" applyProtection="1">
      <alignment horizontal="left" vertical="top"/>
      <protection locked="0"/>
    </xf>
    <xf numFmtId="0" fontId="17" fillId="0" borderId="0" xfId="0" applyFont="1" applyAlignment="1">
      <alignment horizontal="centerContinuous"/>
    </xf>
    <xf numFmtId="1" fontId="17" fillId="0" borderId="0" xfId="0" applyNumberFormat="1" applyFont="1"/>
    <xf numFmtId="0" fontId="17" fillId="0" borderId="0" xfId="0" applyFont="1"/>
    <xf numFmtId="0" fontId="18" fillId="0" borderId="0" xfId="0" applyFont="1"/>
    <xf numFmtId="0" fontId="17" fillId="0" borderId="1" xfId="0" applyFont="1" applyBorder="1" applyAlignment="1">
      <alignment vertical="center"/>
    </xf>
    <xf numFmtId="3" fontId="17" fillId="4" borderId="1" xfId="0" applyNumberFormat="1" applyFont="1" applyFill="1" applyBorder="1" applyAlignment="1">
      <alignment horizontal="center" vertical="center"/>
    </xf>
    <xf numFmtId="6" fontId="17" fillId="4" borderId="1" xfId="0" applyNumberFormat="1" applyFont="1" applyFill="1" applyBorder="1" applyAlignment="1">
      <alignment horizontal="center" vertical="center"/>
    </xf>
    <xf numFmtId="0" fontId="17" fillId="0" borderId="1" xfId="0" applyFont="1" applyBorder="1"/>
    <xf numFmtId="38" fontId="17" fillId="4" borderId="1" xfId="0" applyNumberFormat="1" applyFont="1" applyFill="1" applyBorder="1" applyAlignment="1">
      <alignment horizontal="center" vertical="center"/>
    </xf>
    <xf numFmtId="0" fontId="17" fillId="0" borderId="1" xfId="0" applyFont="1" applyBorder="1" applyAlignment="1">
      <alignment vertical="center" wrapText="1"/>
    </xf>
    <xf numFmtId="8" fontId="17" fillId="4" borderId="1" xfId="0" applyNumberFormat="1" applyFont="1" applyFill="1" applyBorder="1" applyAlignment="1">
      <alignment horizontal="center" vertical="center"/>
    </xf>
    <xf numFmtId="1" fontId="20" fillId="0" borderId="0" xfId="0" applyNumberFormat="1" applyFont="1" applyAlignment="1">
      <alignment horizontal="left" vertical="center"/>
    </xf>
    <xf numFmtId="1" fontId="21" fillId="0" borderId="0" xfId="0" applyNumberFormat="1" applyFont="1"/>
    <xf numFmtId="0" fontId="21" fillId="0" borderId="0" xfId="0" applyFont="1"/>
    <xf numFmtId="168" fontId="22" fillId="0" borderId="7" xfId="0" applyNumberFormat="1" applyFont="1" applyBorder="1" applyAlignment="1" applyProtection="1">
      <alignment horizontal="left" vertical="center"/>
      <protection locked="0"/>
    </xf>
    <xf numFmtId="168" fontId="22" fillId="0" borderId="7" xfId="0" applyNumberFormat="1" applyFont="1" applyBorder="1" applyAlignment="1" applyProtection="1">
      <alignment horizontal="left" vertical="center" wrapText="1"/>
      <protection locked="0"/>
    </xf>
    <xf numFmtId="0" fontId="5" fillId="0" borderId="33" xfId="0" applyFont="1" applyBorder="1" applyProtection="1">
      <protection locked="0"/>
    </xf>
    <xf numFmtId="1" fontId="5" fillId="0" borderId="33" xfId="0" applyNumberFormat="1" applyFont="1" applyBorder="1" applyAlignment="1" applyProtection="1">
      <alignment horizontal="left" vertical="center"/>
      <protection locked="0"/>
    </xf>
    <xf numFmtId="0" fontId="5" fillId="0" borderId="28" xfId="0" applyFont="1" applyBorder="1" applyProtection="1">
      <protection locked="0"/>
    </xf>
    <xf numFmtId="0" fontId="7" fillId="0" borderId="29" xfId="0" applyFont="1" applyBorder="1" applyProtection="1">
      <protection locked="0"/>
    </xf>
    <xf numFmtId="0" fontId="5" fillId="0" borderId="29" xfId="0" applyFont="1" applyBorder="1" applyProtection="1">
      <protection locked="0"/>
    </xf>
    <xf numFmtId="1" fontId="5" fillId="0" borderId="29" xfId="0" applyNumberFormat="1" applyFont="1" applyBorder="1" applyAlignment="1" applyProtection="1">
      <alignment horizontal="left" vertical="center"/>
      <protection locked="0"/>
    </xf>
    <xf numFmtId="1" fontId="5" fillId="0" borderId="29" xfId="0" applyNumberFormat="1" applyFont="1" applyBorder="1" applyProtection="1">
      <protection locked="0"/>
    </xf>
    <xf numFmtId="0" fontId="5" fillId="0" borderId="30" xfId="0" applyFont="1" applyBorder="1" applyProtection="1">
      <protection locked="0"/>
    </xf>
    <xf numFmtId="0" fontId="5" fillId="0" borderId="35" xfId="0" applyFont="1" applyBorder="1" applyProtection="1">
      <protection locked="0"/>
    </xf>
    <xf numFmtId="1" fontId="9" fillId="0" borderId="0" xfId="0" applyNumberFormat="1" applyFont="1" applyAlignment="1" applyProtection="1">
      <alignment horizontal="centerContinuous" vertical="center"/>
      <protection locked="0"/>
    </xf>
    <xf numFmtId="0" fontId="5" fillId="0" borderId="31" xfId="0" applyFont="1" applyBorder="1" applyProtection="1">
      <protection locked="0"/>
    </xf>
    <xf numFmtId="0" fontId="5" fillId="0" borderId="32" xfId="0" applyFont="1" applyBorder="1" applyProtection="1">
      <protection locked="0"/>
    </xf>
    <xf numFmtId="1" fontId="5" fillId="0" borderId="36" xfId="0" applyNumberFormat="1" applyFont="1" applyBorder="1" applyAlignment="1" applyProtection="1">
      <alignment horizontal="left" vertical="center" wrapText="1"/>
      <protection locked="0"/>
    </xf>
    <xf numFmtId="3" fontId="5" fillId="0" borderId="37" xfId="0" applyNumberFormat="1" applyFont="1" applyBorder="1" applyAlignment="1" applyProtection="1">
      <alignment horizontal="center" vertical="center"/>
      <protection locked="0"/>
    </xf>
    <xf numFmtId="1" fontId="5" fillId="0" borderId="33" xfId="0" applyNumberFormat="1" applyFont="1" applyBorder="1" applyProtection="1">
      <protection locked="0"/>
    </xf>
    <xf numFmtId="0" fontId="5" fillId="0" borderId="34" xfId="0" applyFont="1" applyBorder="1" applyProtection="1">
      <protection locked="0"/>
    </xf>
    <xf numFmtId="0" fontId="5" fillId="0" borderId="0" xfId="0" applyFont="1" applyAlignment="1" applyProtection="1">
      <alignment horizontal="left" vertical="top"/>
      <protection locked="0"/>
    </xf>
    <xf numFmtId="0" fontId="13" fillId="5" borderId="12" xfId="1" applyFont="1" applyFill="1" applyBorder="1" applyAlignment="1" applyProtection="1">
      <alignment horizontal="center"/>
      <protection locked="0"/>
    </xf>
    <xf numFmtId="0" fontId="13" fillId="5" borderId="3" xfId="1" applyFont="1" applyFill="1" applyBorder="1" applyAlignment="1" applyProtection="1">
      <alignment horizontal="center"/>
      <protection locked="0"/>
    </xf>
    <xf numFmtId="0" fontId="13" fillId="5" borderId="3" xfId="1" applyFont="1" applyFill="1" applyBorder="1" applyAlignment="1" applyProtection="1">
      <alignment horizontal="center" wrapText="1"/>
      <protection locked="0"/>
    </xf>
    <xf numFmtId="6" fontId="26" fillId="0" borderId="24" xfId="1" applyNumberFormat="1" applyFont="1" applyBorder="1" applyAlignment="1" applyProtection="1">
      <alignment wrapText="1"/>
      <protection locked="0"/>
    </xf>
    <xf numFmtId="6" fontId="26" fillId="0" borderId="20" xfId="1" applyNumberFormat="1" applyFont="1" applyBorder="1" applyAlignment="1" applyProtection="1">
      <alignment wrapText="1"/>
      <protection locked="0"/>
    </xf>
    <xf numFmtId="0" fontId="13" fillId="5" borderId="1" xfId="1" applyFont="1" applyFill="1" applyBorder="1" applyAlignment="1" applyProtection="1">
      <alignment horizontal="center"/>
      <protection locked="0"/>
    </xf>
    <xf numFmtId="6" fontId="12" fillId="0" borderId="38" xfId="1" applyNumberFormat="1" applyFont="1" applyBorder="1" applyProtection="1">
      <protection locked="0"/>
    </xf>
    <xf numFmtId="6" fontId="12" fillId="3" borderId="39" xfId="1" applyNumberFormat="1" applyFont="1" applyFill="1" applyBorder="1" applyProtection="1">
      <protection locked="0"/>
    </xf>
    <xf numFmtId="6" fontId="12" fillId="0" borderId="40" xfId="1" applyNumberFormat="1" applyFont="1" applyBorder="1" applyProtection="1">
      <protection locked="0"/>
    </xf>
    <xf numFmtId="6" fontId="12" fillId="0" borderId="41" xfId="1" applyNumberFormat="1" applyFont="1" applyBorder="1" applyProtection="1">
      <protection locked="0"/>
    </xf>
    <xf numFmtId="166" fontId="5" fillId="0" borderId="0" xfId="0" applyNumberFormat="1" applyFont="1" applyAlignment="1" applyProtection="1">
      <alignment horizontal="left" vertical="center" indent="1"/>
      <protection locked="0"/>
    </xf>
    <xf numFmtId="166" fontId="9" fillId="0" borderId="0" xfId="0" applyNumberFormat="1" applyFont="1" applyAlignment="1" applyProtection="1">
      <alignment horizontal="left" vertical="center" indent="1"/>
      <protection locked="0"/>
    </xf>
    <xf numFmtId="0" fontId="5" fillId="0" borderId="0" xfId="0" applyFont="1" applyAlignment="1" applyProtection="1">
      <alignment horizontal="left" vertical="top" wrapText="1"/>
      <protection locked="0"/>
    </xf>
    <xf numFmtId="0" fontId="7" fillId="0" borderId="0" xfId="0" applyFont="1" applyAlignment="1" applyProtection="1">
      <alignment horizontal="left" wrapText="1"/>
      <protection locked="0"/>
    </xf>
    <xf numFmtId="0" fontId="7" fillId="0" borderId="0" xfId="0" applyFont="1" applyAlignment="1" applyProtection="1">
      <alignment horizontal="left" vertical="top" wrapText="1"/>
      <protection locked="0"/>
    </xf>
    <xf numFmtId="6" fontId="12" fillId="8" borderId="20" xfId="1" applyNumberFormat="1" applyFont="1" applyFill="1" applyBorder="1" applyProtection="1">
      <protection locked="0"/>
    </xf>
    <xf numFmtId="6" fontId="12" fillId="8" borderId="22" xfId="1" applyNumberFormat="1" applyFont="1" applyFill="1" applyBorder="1" applyProtection="1">
      <protection locked="0"/>
    </xf>
    <xf numFmtId="8" fontId="12" fillId="0" borderId="20" xfId="1" applyNumberFormat="1" applyFont="1" applyBorder="1" applyProtection="1">
      <protection locked="0"/>
    </xf>
    <xf numFmtId="38" fontId="12" fillId="0" borderId="20" xfId="1" applyNumberFormat="1" applyFont="1" applyBorder="1" applyProtection="1">
      <protection locked="0"/>
    </xf>
    <xf numFmtId="6" fontId="12" fillId="8" borderId="24" xfId="1" applyNumberFormat="1" applyFont="1" applyFill="1" applyBorder="1" applyProtection="1">
      <protection locked="0"/>
    </xf>
    <xf numFmtId="6" fontId="12" fillId="8" borderId="41" xfId="1" applyNumberFormat="1" applyFont="1" applyFill="1" applyBorder="1" applyProtection="1">
      <protection locked="0"/>
    </xf>
    <xf numFmtId="6" fontId="26" fillId="0" borderId="41" xfId="1" applyNumberFormat="1" applyFont="1" applyBorder="1" applyAlignment="1" applyProtection="1">
      <alignment wrapText="1"/>
      <protection locked="0"/>
    </xf>
    <xf numFmtId="0" fontId="13" fillId="0" borderId="1" xfId="1" applyFont="1" applyBorder="1" applyAlignment="1" applyProtection="1">
      <alignment horizontal="left" wrapText="1"/>
      <protection locked="0"/>
    </xf>
    <xf numFmtId="6" fontId="12" fillId="8" borderId="1" xfId="1" applyNumberFormat="1" applyFont="1" applyFill="1" applyBorder="1" applyProtection="1">
      <protection locked="0"/>
    </xf>
    <xf numFmtId="0" fontId="26" fillId="0" borderId="1" xfId="1" applyFont="1" applyBorder="1" applyAlignment="1" applyProtection="1">
      <alignment wrapText="1"/>
      <protection locked="0"/>
    </xf>
    <xf numFmtId="0" fontId="5" fillId="0" borderId="0" xfId="0" applyFont="1" applyAlignment="1">
      <alignment horizontal="center" vertical="center"/>
    </xf>
    <xf numFmtId="0" fontId="13" fillId="0" borderId="26" xfId="1" applyFont="1" applyBorder="1" applyAlignment="1" applyProtection="1">
      <alignment horizontal="right" wrapText="1"/>
      <protection locked="0"/>
    </xf>
    <xf numFmtId="0" fontId="12" fillId="0" borderId="19" xfId="1" applyFont="1" applyBorder="1" applyAlignment="1" applyProtection="1">
      <alignment horizontal="left" vertical="top" wrapText="1" indent="2"/>
      <protection locked="0"/>
    </xf>
    <xf numFmtId="9" fontId="5" fillId="7" borderId="1" xfId="2" applyFont="1" applyFill="1" applyBorder="1" applyAlignment="1">
      <alignment horizontal="center" vertical="center"/>
    </xf>
    <xf numFmtId="0" fontId="5" fillId="7" borderId="1" xfId="0" applyFont="1" applyFill="1" applyBorder="1" applyAlignment="1">
      <alignment horizontal="center" vertical="center"/>
    </xf>
    <xf numFmtId="172" fontId="5" fillId="7" borderId="1" xfId="4" applyNumberFormat="1" applyFont="1" applyFill="1" applyBorder="1" applyAlignment="1">
      <alignment horizontal="center" vertical="center"/>
    </xf>
    <xf numFmtId="173" fontId="5" fillId="7" borderId="1" xfId="2" applyNumberFormat="1" applyFont="1" applyFill="1" applyBorder="1" applyAlignment="1">
      <alignment horizontal="center" vertical="center"/>
    </xf>
    <xf numFmtId="0" fontId="5" fillId="2" borderId="0" xfId="0" applyFont="1" applyFill="1" applyAlignment="1">
      <alignment horizontal="right" vertical="center"/>
    </xf>
    <xf numFmtId="0" fontId="5" fillId="0" borderId="0" xfId="0" applyFont="1" applyAlignment="1">
      <alignment horizontal="right" vertical="center"/>
    </xf>
    <xf numFmtId="1" fontId="5" fillId="0" borderId="0" xfId="0" applyNumberFormat="1" applyFont="1" applyAlignment="1">
      <alignment horizontal="right" vertical="center"/>
    </xf>
    <xf numFmtId="0" fontId="7" fillId="0" borderId="0" xfId="0" applyFont="1" applyAlignment="1">
      <alignment horizontal="right" vertical="center" wrapText="1"/>
    </xf>
    <xf numFmtId="0" fontId="0" fillId="6" borderId="0" xfId="0" applyFill="1"/>
    <xf numFmtId="0" fontId="25" fillId="6" borderId="0" xfId="0" applyFont="1" applyFill="1" applyAlignment="1">
      <alignment wrapText="1"/>
    </xf>
    <xf numFmtId="0" fontId="28" fillId="0" borderId="0" xfId="0" applyFont="1" applyAlignment="1">
      <alignment vertical="top"/>
    </xf>
    <xf numFmtId="0" fontId="5" fillId="0" borderId="0" xfId="0" applyFont="1" applyAlignment="1">
      <alignment vertical="top"/>
    </xf>
    <xf numFmtId="0" fontId="28" fillId="0" borderId="0" xfId="0" applyFont="1"/>
    <xf numFmtId="0" fontId="5" fillId="0" borderId="0" xfId="0" applyFont="1" applyAlignment="1">
      <alignment horizontal="left" wrapText="1"/>
    </xf>
    <xf numFmtId="6" fontId="12" fillId="8" borderId="43" xfId="1" applyNumberFormat="1" applyFont="1" applyFill="1" applyBorder="1" applyProtection="1">
      <protection locked="0"/>
    </xf>
    <xf numFmtId="10" fontId="5" fillId="7" borderId="1" xfId="2" applyNumberFormat="1" applyFont="1" applyFill="1" applyBorder="1" applyAlignment="1">
      <alignment horizontal="center" vertical="center"/>
    </xf>
    <xf numFmtId="6" fontId="12" fillId="0" borderId="43" xfId="1" applyNumberFormat="1" applyFont="1" applyBorder="1" applyProtection="1">
      <protection locked="0"/>
    </xf>
    <xf numFmtId="6" fontId="12" fillId="0" borderId="44" xfId="1" applyNumberFormat="1" applyFont="1" applyBorder="1" applyProtection="1">
      <protection locked="0"/>
    </xf>
    <xf numFmtId="6" fontId="12" fillId="3" borderId="44" xfId="1" applyNumberFormat="1" applyFont="1" applyFill="1" applyBorder="1" applyProtection="1">
      <protection locked="0"/>
    </xf>
    <xf numFmtId="0" fontId="12" fillId="0" borderId="8" xfId="1" applyFont="1" applyBorder="1" applyAlignment="1" applyProtection="1">
      <alignment horizontal="center" wrapText="1"/>
      <protection locked="0"/>
    </xf>
    <xf numFmtId="0" fontId="12" fillId="0" borderId="9" xfId="1" applyFont="1" applyBorder="1" applyProtection="1">
      <protection locked="0"/>
    </xf>
    <xf numFmtId="0" fontId="13" fillId="0" borderId="8" xfId="1" applyFont="1" applyBorder="1" applyAlignment="1" applyProtection="1">
      <alignment horizontal="right" wrapText="1"/>
      <protection locked="0"/>
    </xf>
    <xf numFmtId="0" fontId="12" fillId="0" borderId="21" xfId="1" applyFont="1" applyBorder="1" applyAlignment="1" applyProtection="1">
      <alignment horizontal="left" indent="2"/>
      <protection locked="0"/>
    </xf>
    <xf numFmtId="8" fontId="12" fillId="8" borderId="20" xfId="1" applyNumberFormat="1" applyFont="1" applyFill="1" applyBorder="1" applyProtection="1">
      <protection locked="0"/>
    </xf>
    <xf numFmtId="38" fontId="12" fillId="8" borderId="20" xfId="1" applyNumberFormat="1" applyFont="1" applyFill="1" applyBorder="1" applyProtection="1">
      <protection locked="0"/>
    </xf>
    <xf numFmtId="6" fontId="12" fillId="10" borderId="9" xfId="1" applyNumberFormat="1" applyFont="1" applyFill="1" applyBorder="1" applyProtection="1">
      <protection locked="0"/>
    </xf>
    <xf numFmtId="6" fontId="12" fillId="10" borderId="24" xfId="1" applyNumberFormat="1" applyFont="1" applyFill="1" applyBorder="1" applyProtection="1">
      <protection locked="0"/>
    </xf>
    <xf numFmtId="0" fontId="5" fillId="0" borderId="0" xfId="0" applyFont="1" applyAlignment="1">
      <alignment wrapText="1"/>
    </xf>
    <xf numFmtId="6" fontId="26" fillId="0" borderId="20" xfId="1" applyNumberFormat="1" applyFont="1" applyBorder="1" applyAlignment="1" applyProtection="1">
      <alignment horizontal="left" vertical="top" wrapText="1"/>
      <protection locked="0"/>
    </xf>
    <xf numFmtId="0" fontId="9" fillId="0" borderId="7" xfId="0" applyFont="1" applyBorder="1" applyAlignment="1" applyProtection="1">
      <alignment horizontal="center" vertical="top" wrapText="1"/>
      <protection locked="0"/>
    </xf>
    <xf numFmtId="3" fontId="5" fillId="0" borderId="7" xfId="0" applyNumberFormat="1" applyFont="1" applyBorder="1" applyAlignment="1" applyProtection="1">
      <alignment horizontal="center" vertical="center"/>
      <protection locked="0"/>
    </xf>
    <xf numFmtId="3" fontId="5" fillId="3" borderId="12" xfId="0" applyNumberFormat="1" applyFont="1" applyFill="1" applyBorder="1" applyAlignment="1" applyProtection="1">
      <alignment horizontal="center" vertical="center"/>
      <protection locked="0"/>
    </xf>
    <xf numFmtId="0" fontId="9" fillId="0" borderId="0" xfId="0" applyFont="1" applyAlignment="1" applyProtection="1">
      <alignment horizontal="center"/>
      <protection locked="0"/>
    </xf>
    <xf numFmtId="4" fontId="11" fillId="0" borderId="0" xfId="0" applyNumberFormat="1" applyFont="1" applyAlignment="1" applyProtection="1">
      <alignment horizontal="center" vertical="center"/>
      <protection locked="0"/>
    </xf>
    <xf numFmtId="170" fontId="9" fillId="0" borderId="7" xfId="0" applyNumberFormat="1" applyFont="1" applyBorder="1" applyAlignment="1" applyProtection="1">
      <alignment horizontal="left" vertical="center" indent="1"/>
      <protection locked="0"/>
    </xf>
    <xf numFmtId="170" fontId="9" fillId="0" borderId="0" xfId="0" applyNumberFormat="1" applyFont="1" applyAlignment="1" applyProtection="1">
      <alignment horizontal="left" vertical="center" indent="1"/>
      <protection locked="0"/>
    </xf>
    <xf numFmtId="0" fontId="18" fillId="0" borderId="0" xfId="0" applyFont="1" applyAlignment="1">
      <alignment horizontal="center" vertical="center"/>
    </xf>
    <xf numFmtId="0" fontId="5" fillId="6" borderId="0" xfId="0" applyFont="1" applyFill="1"/>
    <xf numFmtId="0" fontId="5" fillId="6" borderId="0" xfId="0" applyFont="1" applyFill="1" applyAlignment="1">
      <alignment horizontal="left"/>
    </xf>
    <xf numFmtId="0" fontId="6" fillId="6" borderId="0" xfId="0" applyFont="1" applyFill="1"/>
    <xf numFmtId="0" fontId="29" fillId="0" borderId="0" xfId="3" applyFont="1" applyFill="1" applyBorder="1" applyAlignment="1" applyProtection="1">
      <alignment horizontal="center" vertical="center" wrapText="1"/>
      <protection locked="0"/>
    </xf>
    <xf numFmtId="0" fontId="12" fillId="6" borderId="19" xfId="1" applyFont="1" applyFill="1" applyBorder="1" applyAlignment="1" applyProtection="1">
      <alignment horizontal="left" wrapText="1" indent="2"/>
      <protection locked="0"/>
    </xf>
    <xf numFmtId="0" fontId="31" fillId="0" borderId="0" xfId="0" applyFont="1"/>
    <xf numFmtId="0" fontId="32" fillId="0" borderId="0" xfId="0" applyFont="1"/>
    <xf numFmtId="0" fontId="32" fillId="4" borderId="0" xfId="0" applyFont="1" applyFill="1"/>
    <xf numFmtId="0" fontId="32" fillId="7" borderId="0" xfId="0" applyFont="1" applyFill="1" applyAlignment="1">
      <alignment vertical="center"/>
    </xf>
    <xf numFmtId="0" fontId="5" fillId="7" borderId="0" xfId="0" applyFont="1" applyFill="1" applyAlignment="1" applyProtection="1">
      <alignment wrapText="1"/>
      <protection locked="0"/>
    </xf>
    <xf numFmtId="0" fontId="30" fillId="0" borderId="0" xfId="3" applyFont="1" applyFill="1" applyBorder="1" applyAlignment="1" applyProtection="1">
      <alignment horizontal="center" vertical="center" wrapText="1"/>
      <protection locked="0"/>
    </xf>
    <xf numFmtId="0" fontId="9" fillId="0" borderId="0" xfId="0" applyFont="1" applyAlignment="1" applyProtection="1">
      <alignment vertical="top" wrapText="1"/>
      <protection locked="0"/>
    </xf>
    <xf numFmtId="1" fontId="9" fillId="6" borderId="7" xfId="0" applyNumberFormat="1" applyFont="1" applyFill="1" applyBorder="1" applyAlignment="1" applyProtection="1">
      <alignment horizontal="center" vertical="center"/>
      <protection locked="0"/>
    </xf>
    <xf numFmtId="1" fontId="9" fillId="6" borderId="0" xfId="0" applyNumberFormat="1" applyFont="1" applyFill="1" applyAlignment="1" applyProtection="1">
      <alignment horizontal="center" vertical="center"/>
      <protection locked="0"/>
    </xf>
    <xf numFmtId="3" fontId="5" fillId="6" borderId="1" xfId="0" applyNumberFormat="1" applyFont="1" applyFill="1" applyBorder="1" applyAlignment="1" applyProtection="1">
      <alignment horizontal="center" vertical="center"/>
      <protection locked="0"/>
    </xf>
    <xf numFmtId="0" fontId="5" fillId="6" borderId="17" xfId="0" applyFont="1" applyFill="1" applyBorder="1" applyProtection="1">
      <protection locked="0"/>
    </xf>
    <xf numFmtId="0" fontId="9" fillId="0" borderId="0" xfId="0" applyFont="1" applyAlignment="1" applyProtection="1">
      <alignment horizontal="center" vertical="top" wrapText="1"/>
      <protection locked="0"/>
    </xf>
    <xf numFmtId="3" fontId="5" fillId="6" borderId="7" xfId="0" applyNumberFormat="1" applyFont="1" applyFill="1" applyBorder="1" applyAlignment="1" applyProtection="1">
      <alignment horizontal="center" vertical="center"/>
      <protection locked="0"/>
    </xf>
    <xf numFmtId="170" fontId="9" fillId="0" borderId="8" xfId="0" applyNumberFormat="1" applyFont="1" applyBorder="1" applyAlignment="1" applyProtection="1">
      <alignment horizontal="left" vertical="center" indent="1"/>
      <protection locked="0"/>
    </xf>
    <xf numFmtId="167" fontId="5" fillId="6" borderId="1" xfId="0" applyNumberFormat="1" applyFont="1" applyFill="1" applyBorder="1" applyAlignment="1" applyProtection="1">
      <alignment horizontal="center" vertical="center"/>
      <protection locked="0"/>
    </xf>
    <xf numFmtId="164" fontId="5" fillId="6" borderId="1" xfId="0" applyNumberFormat="1" applyFont="1" applyFill="1" applyBorder="1" applyAlignment="1" applyProtection="1">
      <alignment horizontal="center" vertical="center"/>
      <protection locked="0"/>
    </xf>
    <xf numFmtId="167" fontId="5" fillId="0" borderId="0" xfId="0" applyNumberFormat="1" applyFont="1" applyAlignment="1" applyProtection="1">
      <alignment horizontal="center" vertical="top"/>
      <protection locked="0"/>
    </xf>
    <xf numFmtId="0" fontId="7" fillId="0" borderId="0" xfId="0" applyFont="1" applyAlignment="1" applyProtection="1">
      <alignment horizontal="left" vertical="center" wrapText="1"/>
      <protection locked="0"/>
    </xf>
    <xf numFmtId="0" fontId="5" fillId="0" borderId="0" xfId="0" applyFont="1" applyAlignment="1" applyProtection="1">
      <alignment vertical="top" wrapText="1"/>
      <protection locked="0"/>
    </xf>
    <xf numFmtId="0" fontId="36" fillId="0" borderId="42" xfId="0" applyFont="1" applyBorder="1" applyAlignment="1">
      <alignment vertical="center" wrapText="1"/>
    </xf>
    <xf numFmtId="0" fontId="36" fillId="0" borderId="11" xfId="0" applyFont="1" applyBorder="1" applyAlignment="1">
      <alignment vertical="center" wrapText="1"/>
    </xf>
    <xf numFmtId="0" fontId="37" fillId="0" borderId="45" xfId="0" applyFont="1" applyBorder="1" applyAlignment="1">
      <alignment vertical="center" wrapText="1"/>
    </xf>
    <xf numFmtId="0" fontId="37" fillId="0" borderId="45" xfId="0" applyFont="1" applyBorder="1" applyAlignment="1">
      <alignment horizontal="left" vertical="center" wrapText="1" indent="2"/>
    </xf>
    <xf numFmtId="0" fontId="38" fillId="0" borderId="45" xfId="0" applyFont="1" applyBorder="1" applyAlignment="1">
      <alignment vertical="center" wrapText="1"/>
    </xf>
    <xf numFmtId="0" fontId="35" fillId="6" borderId="0" xfId="0" applyFont="1" applyFill="1" applyAlignment="1">
      <alignment vertical="center"/>
    </xf>
    <xf numFmtId="0" fontId="18" fillId="0" borderId="0" xfId="0" applyFont="1" applyAlignment="1">
      <alignment horizontal="center" wrapText="1"/>
    </xf>
    <xf numFmtId="1" fontId="18" fillId="0" borderId="0" xfId="0" applyNumberFormat="1" applyFont="1" applyAlignment="1">
      <alignment horizontal="center" wrapText="1"/>
    </xf>
    <xf numFmtId="0" fontId="5" fillId="0" borderId="0" xfId="0" applyFont="1" applyAlignment="1">
      <alignment horizontal="left" vertical="center" wrapText="1"/>
    </xf>
    <xf numFmtId="167" fontId="5" fillId="3" borderId="1" xfId="0" applyNumberFormat="1"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top" wrapText="1"/>
      <protection locked="0"/>
    </xf>
    <xf numFmtId="0" fontId="5" fillId="6" borderId="0" xfId="0" applyFont="1" applyFill="1" applyAlignment="1" applyProtection="1">
      <alignment horizontal="center" vertical="top" wrapText="1"/>
      <protection locked="0"/>
    </xf>
    <xf numFmtId="0" fontId="5" fillId="6" borderId="7" xfId="0" applyFont="1" applyFill="1" applyBorder="1" applyAlignment="1" applyProtection="1">
      <alignment horizontal="center" vertical="top" wrapText="1"/>
      <protection locked="0"/>
    </xf>
    <xf numFmtId="0" fontId="5" fillId="0" borderId="1" xfId="0" applyFont="1" applyBorder="1" applyAlignment="1" applyProtection="1">
      <alignment wrapText="1"/>
      <protection locked="0"/>
    </xf>
    <xf numFmtId="164" fontId="5" fillId="3" borderId="1" xfId="0" applyNumberFormat="1" applyFont="1" applyFill="1" applyBorder="1" applyAlignment="1" applyProtection="1">
      <alignment horizontal="center" vertical="center"/>
      <protection locked="0"/>
    </xf>
    <xf numFmtId="168" fontId="22" fillId="0" borderId="7" xfId="0" applyNumberFormat="1" applyFont="1" applyBorder="1" applyAlignment="1" applyProtection="1">
      <alignment horizontal="left" vertical="top" wrapText="1"/>
      <protection locked="0"/>
    </xf>
    <xf numFmtId="9" fontId="5" fillId="0" borderId="1" xfId="2" applyFont="1" applyBorder="1" applyAlignment="1" applyProtection="1">
      <alignment horizontal="center" vertical="top" wrapText="1"/>
      <protection locked="0"/>
    </xf>
    <xf numFmtId="44" fontId="12" fillId="3" borderId="20" xfId="1" applyNumberFormat="1" applyFont="1" applyFill="1" applyBorder="1" applyProtection="1">
      <protection locked="0"/>
    </xf>
    <xf numFmtId="9" fontId="5" fillId="0" borderId="1" xfId="0" applyNumberFormat="1" applyFont="1" applyBorder="1" applyAlignment="1" applyProtection="1">
      <alignment horizontal="center" vertical="top"/>
      <protection locked="0"/>
    </xf>
    <xf numFmtId="9" fontId="5" fillId="0" borderId="1" xfId="2" applyFont="1" applyBorder="1" applyAlignment="1" applyProtection="1">
      <alignment horizontal="center" vertical="top"/>
      <protection locked="0"/>
    </xf>
    <xf numFmtId="0" fontId="7" fillId="7" borderId="0" xfId="0" applyFont="1" applyFill="1"/>
    <xf numFmtId="0" fontId="7" fillId="6" borderId="0" xfId="0" applyFont="1" applyFill="1" applyAlignment="1">
      <alignment horizontal="center" textRotation="90" wrapText="1"/>
    </xf>
    <xf numFmtId="0" fontId="17" fillId="6" borderId="0" xfId="0" applyFont="1" applyFill="1"/>
    <xf numFmtId="0" fontId="21" fillId="6" borderId="0" xfId="0" applyFont="1" applyFill="1"/>
    <xf numFmtId="0" fontId="17" fillId="12" borderId="1" xfId="0" applyFont="1" applyFill="1" applyBorder="1" applyAlignment="1">
      <alignment vertical="center" wrapText="1"/>
    </xf>
    <xf numFmtId="175" fontId="19" fillId="4" borderId="1" xfId="0" applyNumberFormat="1" applyFont="1" applyFill="1" applyBorder="1" applyAlignment="1">
      <alignment horizontal="center" vertical="center"/>
    </xf>
    <xf numFmtId="176" fontId="19" fillId="4" borderId="1" xfId="0" applyNumberFormat="1" applyFont="1" applyFill="1" applyBorder="1" applyAlignment="1">
      <alignment horizontal="center" vertical="center"/>
    </xf>
    <xf numFmtId="175" fontId="17" fillId="4" borderId="1" xfId="0" applyNumberFormat="1" applyFont="1" applyFill="1" applyBorder="1" applyAlignment="1">
      <alignment horizontal="center"/>
    </xf>
    <xf numFmtId="166" fontId="9" fillId="0" borderId="0" xfId="0" applyNumberFormat="1" applyFont="1" applyAlignment="1" applyProtection="1">
      <alignment vertical="top"/>
      <protection locked="0"/>
    </xf>
    <xf numFmtId="1" fontId="9" fillId="0" borderId="0" xfId="0" applyNumberFormat="1" applyFont="1" applyAlignment="1" applyProtection="1">
      <alignment horizontal="right" vertical="center"/>
      <protection locked="0"/>
    </xf>
    <xf numFmtId="0" fontId="40" fillId="0" borderId="0" xfId="0" applyFont="1" applyAlignment="1" applyProtection="1">
      <alignment horizontal="center" vertical="center"/>
      <protection locked="0"/>
    </xf>
    <xf numFmtId="176" fontId="17" fillId="4" borderId="1" xfId="0" applyNumberFormat="1" applyFont="1" applyFill="1" applyBorder="1" applyAlignment="1">
      <alignment horizontal="center" vertical="center"/>
    </xf>
    <xf numFmtId="174" fontId="9" fillId="0" borderId="14" xfId="4" applyNumberFormat="1" applyFont="1" applyBorder="1" applyAlignment="1" applyProtection="1"/>
    <xf numFmtId="166" fontId="9" fillId="0" borderId="0" xfId="0" applyNumberFormat="1" applyFont="1" applyAlignment="1" applyProtection="1">
      <alignment vertical="center"/>
      <protection locked="0"/>
    </xf>
    <xf numFmtId="166" fontId="5" fillId="0" borderId="0" xfId="0" applyNumberFormat="1" applyFont="1" applyAlignment="1" applyProtection="1">
      <alignment vertical="center"/>
      <protection locked="0"/>
    </xf>
    <xf numFmtId="164" fontId="5" fillId="3" borderId="13" xfId="0" applyNumberFormat="1" applyFont="1" applyFill="1" applyBorder="1" applyAlignment="1" applyProtection="1">
      <alignment horizontal="center" vertical="center"/>
      <protection locked="0"/>
    </xf>
    <xf numFmtId="1" fontId="9" fillId="0" borderId="0" xfId="0" applyNumberFormat="1" applyFont="1" applyProtection="1">
      <protection locked="0"/>
    </xf>
    <xf numFmtId="0" fontId="14" fillId="0" borderId="0" xfId="0" applyFont="1" applyProtection="1">
      <protection locked="0"/>
    </xf>
    <xf numFmtId="0" fontId="33" fillId="0" borderId="0" xfId="0" applyFont="1" applyProtection="1">
      <protection locked="0"/>
    </xf>
    <xf numFmtId="0" fontId="41" fillId="0" borderId="0" xfId="0" applyFont="1" applyAlignment="1" applyProtection="1">
      <alignment horizontal="center" vertical="center"/>
      <protection locked="0"/>
    </xf>
    <xf numFmtId="174" fontId="9" fillId="0" borderId="0" xfId="4" applyNumberFormat="1" applyFont="1" applyBorder="1" applyAlignment="1" applyProtection="1">
      <alignment vertical="center"/>
    </xf>
    <xf numFmtId="9" fontId="9" fillId="0" borderId="1" xfId="2" applyFont="1" applyBorder="1" applyAlignment="1" applyProtection="1">
      <alignment horizontal="center" vertical="center"/>
      <protection locked="0"/>
    </xf>
    <xf numFmtId="9" fontId="5" fillId="0" borderId="1" xfId="2" applyFont="1" applyBorder="1" applyAlignment="1" applyProtection="1">
      <alignment horizontal="center" vertical="center"/>
      <protection locked="0"/>
    </xf>
    <xf numFmtId="9" fontId="5" fillId="0" borderId="1" xfId="2" applyFont="1" applyBorder="1" applyAlignment="1" applyProtection="1">
      <alignment horizontal="center"/>
      <protection locked="0"/>
    </xf>
    <xf numFmtId="174" fontId="9" fillId="8" borderId="1" xfId="0" applyNumberFormat="1" applyFont="1" applyFill="1" applyBorder="1" applyAlignment="1">
      <alignment vertical="center"/>
    </xf>
    <xf numFmtId="174" fontId="9" fillId="8" borderId="1" xfId="4" applyNumberFormat="1" applyFont="1" applyFill="1" applyBorder="1" applyAlignment="1" applyProtection="1">
      <alignment vertical="center"/>
    </xf>
    <xf numFmtId="174" fontId="9" fillId="8" borderId="1" xfId="4" applyNumberFormat="1" applyFont="1" applyFill="1" applyBorder="1" applyAlignment="1" applyProtection="1">
      <alignment vertical="top"/>
    </xf>
    <xf numFmtId="3" fontId="5" fillId="6" borderId="0" xfId="0" applyNumberFormat="1" applyFont="1" applyFill="1" applyAlignment="1" applyProtection="1">
      <alignment horizontal="center" vertical="center"/>
      <protection locked="0"/>
    </xf>
    <xf numFmtId="0" fontId="5" fillId="6" borderId="3" xfId="0" applyFont="1" applyFill="1" applyBorder="1" applyAlignment="1" applyProtection="1">
      <alignment vertical="center"/>
      <protection locked="0"/>
    </xf>
    <xf numFmtId="0" fontId="7" fillId="0" borderId="7" xfId="0" applyFont="1" applyBorder="1"/>
    <xf numFmtId="167" fontId="5" fillId="3" borderId="16" xfId="0" applyNumberFormat="1" applyFont="1" applyFill="1" applyBorder="1" applyAlignment="1" applyProtection="1">
      <alignment horizontal="center" vertical="center"/>
      <protection locked="0"/>
    </xf>
    <xf numFmtId="164" fontId="5" fillId="3" borderId="4" xfId="0" applyNumberFormat="1" applyFont="1" applyFill="1" applyBorder="1" applyAlignment="1" applyProtection="1">
      <alignment horizontal="center" vertical="center"/>
      <protection locked="0"/>
    </xf>
    <xf numFmtId="44" fontId="5" fillId="0" borderId="14" xfId="4" applyFont="1" applyBorder="1" applyAlignment="1" applyProtection="1">
      <alignment horizontal="center"/>
      <protection locked="0"/>
    </xf>
    <xf numFmtId="0" fontId="4" fillId="0" borderId="0" xfId="3" applyAlignment="1">
      <alignment horizontal="left" vertical="top" wrapText="1"/>
    </xf>
    <xf numFmtId="0" fontId="1" fillId="0" borderId="0" xfId="0" applyFont="1" applyAlignment="1" applyProtection="1">
      <alignment horizontal="left" vertical="top" wrapText="1"/>
      <protection locked="0"/>
    </xf>
    <xf numFmtId="44" fontId="5" fillId="8" borderId="12" xfId="4" applyFont="1" applyFill="1" applyBorder="1" applyAlignment="1" applyProtection="1">
      <alignment horizontal="center" vertical="top"/>
    </xf>
    <xf numFmtId="168" fontId="9" fillId="0" borderId="7" xfId="0" applyNumberFormat="1" applyFont="1" applyBorder="1" applyAlignment="1" applyProtection="1">
      <alignment horizontal="left" vertical="center" wrapText="1"/>
      <protection locked="0"/>
    </xf>
    <xf numFmtId="0" fontId="13" fillId="6" borderId="0" xfId="1" applyFont="1" applyFill="1" applyAlignment="1" applyProtection="1">
      <alignment horizontal="center"/>
      <protection locked="0"/>
    </xf>
    <xf numFmtId="174" fontId="9" fillId="0" borderId="0" xfId="4" applyNumberFormat="1" applyFont="1" applyBorder="1" applyAlignment="1" applyProtection="1"/>
    <xf numFmtId="0" fontId="44" fillId="0" borderId="0" xfId="0" applyFont="1" applyAlignment="1" applyProtection="1">
      <alignment horizontal="centerContinuous" vertical="center"/>
      <protection locked="0"/>
    </xf>
    <xf numFmtId="0" fontId="1" fillId="0" borderId="12" xfId="0" applyFont="1" applyBorder="1" applyAlignment="1" applyProtection="1">
      <alignment wrapText="1"/>
      <protection locked="0"/>
    </xf>
    <xf numFmtId="0" fontId="1" fillId="0" borderId="12" xfId="0" applyFont="1" applyBorder="1" applyProtection="1">
      <protection locked="0"/>
    </xf>
    <xf numFmtId="0" fontId="5" fillId="4" borderId="0" xfId="0" applyFont="1" applyFill="1"/>
    <xf numFmtId="0" fontId="5" fillId="7" borderId="0" xfId="0" applyFont="1" applyFill="1"/>
    <xf numFmtId="0" fontId="46" fillId="0" borderId="0" xfId="3" applyFont="1" applyAlignment="1">
      <alignment horizontal="left" vertical="top"/>
    </xf>
    <xf numFmtId="0" fontId="47" fillId="0" borderId="0" xfId="0" applyFont="1" applyAlignment="1" applyProtection="1">
      <alignment horizontal="left" vertical="center"/>
      <protection locked="0"/>
    </xf>
    <xf numFmtId="0" fontId="1" fillId="0" borderId="0" xfId="0" applyFont="1" applyAlignment="1">
      <alignment vertical="top"/>
    </xf>
    <xf numFmtId="0" fontId="1" fillId="0" borderId="0" xfId="0" applyFont="1"/>
    <xf numFmtId="0" fontId="19" fillId="0" borderId="1" xfId="0" applyFont="1" applyBorder="1" applyAlignment="1">
      <alignment vertical="center"/>
    </xf>
    <xf numFmtId="0" fontId="1" fillId="0" borderId="46" xfId="0" applyFont="1" applyBorder="1" applyAlignment="1">
      <alignment horizontal="left" vertical="center" wrapText="1" indent="1"/>
    </xf>
    <xf numFmtId="0" fontId="48" fillId="0" borderId="51" xfId="0" applyFont="1" applyBorder="1" applyAlignment="1">
      <alignment vertical="center" wrapText="1"/>
    </xf>
    <xf numFmtId="0" fontId="1" fillId="0" borderId="52" xfId="0" applyFont="1" applyBorder="1" applyAlignment="1">
      <alignment horizontal="left" vertical="center" wrapText="1" indent="1"/>
    </xf>
    <xf numFmtId="0" fontId="4" fillId="0" borderId="0" xfId="3" applyAlignment="1">
      <alignment horizontal="left" vertical="top" wrapText="1"/>
    </xf>
    <xf numFmtId="0" fontId="28" fillId="0" borderId="0" xfId="0" applyFont="1" applyAlignment="1">
      <alignment horizontal="left" wrapText="1"/>
    </xf>
    <xf numFmtId="0" fontId="12" fillId="0" borderId="27" xfId="0" applyFont="1" applyBorder="1" applyAlignment="1">
      <alignment horizontal="left" vertical="top" wrapText="1"/>
    </xf>
    <xf numFmtId="0" fontId="5" fillId="0" borderId="0" xfId="0" applyFont="1" applyAlignment="1">
      <alignment horizontal="left"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2" fillId="0" borderId="0" xfId="0" applyFont="1" applyAlignment="1">
      <alignment horizontal="left" vertical="top" wrapText="1"/>
    </xf>
    <xf numFmtId="0" fontId="32" fillId="0" borderId="48" xfId="0" applyFont="1" applyBorder="1" applyAlignment="1">
      <alignment horizontal="left" vertical="center" wrapText="1"/>
    </xf>
    <xf numFmtId="0" fontId="32" fillId="0" borderId="49" xfId="0" applyFont="1" applyBorder="1" applyAlignment="1">
      <alignment horizontal="left" vertical="center" wrapText="1"/>
    </xf>
    <xf numFmtId="0" fontId="32" fillId="0" borderId="50" xfId="0" applyFont="1" applyBorder="1" applyAlignment="1">
      <alignment horizontal="left" vertical="center" wrapText="1"/>
    </xf>
    <xf numFmtId="0" fontId="7" fillId="4" borderId="0" xfId="0" applyFont="1" applyFill="1" applyAlignment="1">
      <alignment horizontal="center" textRotation="90"/>
    </xf>
    <xf numFmtId="0" fontId="7" fillId="4" borderId="4" xfId="0" applyFont="1" applyFill="1" applyBorder="1" applyAlignment="1">
      <alignment horizontal="center" textRotation="90"/>
    </xf>
    <xf numFmtId="0" fontId="18" fillId="12" borderId="0" xfId="0" applyFont="1" applyFill="1" applyAlignment="1">
      <alignment horizontal="center" wrapText="1"/>
    </xf>
    <xf numFmtId="0" fontId="7" fillId="12" borderId="0" xfId="0" applyFont="1" applyFill="1" applyAlignment="1">
      <alignment horizontal="center" textRotation="90" wrapText="1"/>
    </xf>
    <xf numFmtId="0" fontId="17" fillId="0" borderId="0" xfId="0" applyFont="1" applyAlignment="1">
      <alignment horizontal="left" vertical="top" wrapText="1"/>
    </xf>
    <xf numFmtId="0" fontId="19" fillId="0" borderId="0" xfId="0" applyFont="1" applyAlignment="1">
      <alignment horizontal="left" vertical="top" wrapText="1"/>
    </xf>
    <xf numFmtId="0" fontId="4" fillId="0" borderId="7" xfId="3" applyFill="1" applyBorder="1" applyAlignment="1">
      <alignment horizontal="center"/>
    </xf>
    <xf numFmtId="0" fontId="4" fillId="0" borderId="0" xfId="3" applyFill="1" applyBorder="1" applyAlignment="1">
      <alignment horizontal="center"/>
    </xf>
    <xf numFmtId="0" fontId="12" fillId="11" borderId="1" xfId="3" applyFont="1" applyFill="1" applyBorder="1" applyAlignment="1">
      <alignment horizontal="left" wrapText="1"/>
    </xf>
    <xf numFmtId="0" fontId="4" fillId="11" borderId="1" xfId="3" applyFill="1" applyBorder="1" applyAlignment="1">
      <alignment horizontal="left" wrapText="1"/>
    </xf>
    <xf numFmtId="0" fontId="12" fillId="0" borderId="12" xfId="0" applyFont="1" applyBorder="1" applyAlignment="1">
      <alignment horizontal="left" vertical="top"/>
    </xf>
    <xf numFmtId="0" fontId="12" fillId="0" borderId="13" xfId="0" applyFont="1" applyBorder="1" applyAlignment="1">
      <alignment horizontal="left" vertical="top"/>
    </xf>
    <xf numFmtId="0" fontId="12" fillId="0" borderId="3" xfId="0" applyFont="1" applyBorder="1" applyAlignment="1">
      <alignment horizontal="left" vertical="top"/>
    </xf>
    <xf numFmtId="0" fontId="5" fillId="11" borderId="1" xfId="0" applyFont="1" applyFill="1" applyBorder="1" applyAlignment="1">
      <alignment vertical="top" wrapText="1"/>
    </xf>
    <xf numFmtId="0" fontId="5" fillId="6" borderId="1" xfId="0" applyFont="1" applyFill="1" applyBorder="1" applyAlignment="1">
      <alignment horizontal="left" vertical="top" wrapText="1"/>
    </xf>
    <xf numFmtId="0" fontId="5" fillId="11" borderId="1" xfId="0" applyFont="1" applyFill="1" applyBorder="1" applyAlignment="1">
      <alignment horizontal="left"/>
    </xf>
    <xf numFmtId="0" fontId="4" fillId="0" borderId="1" xfId="3" applyBorder="1" applyAlignment="1">
      <alignment horizontal="center"/>
    </xf>
    <xf numFmtId="0" fontId="4" fillId="0" borderId="12" xfId="3" applyBorder="1" applyAlignment="1">
      <alignment horizontal="center"/>
    </xf>
    <xf numFmtId="0" fontId="5" fillId="0" borderId="1" xfId="0" applyFont="1" applyBorder="1"/>
    <xf numFmtId="0" fontId="4" fillId="0" borderId="1" xfId="3" applyFill="1" applyBorder="1" applyAlignment="1">
      <alignment horizontal="center"/>
    </xf>
    <xf numFmtId="0" fontId="1" fillId="6" borderId="1" xfId="0" applyFont="1" applyFill="1" applyBorder="1" applyAlignment="1">
      <alignment horizontal="left" wrapText="1"/>
    </xf>
    <xf numFmtId="0" fontId="5" fillId="6" borderId="1" xfId="0" applyFont="1" applyFill="1" applyBorder="1" applyAlignment="1">
      <alignment horizontal="left" wrapText="1"/>
    </xf>
    <xf numFmtId="0" fontId="5" fillId="11" borderId="12" xfId="0" applyFont="1" applyFill="1" applyBorder="1" applyAlignment="1">
      <alignment horizontal="left" vertical="top" wrapText="1"/>
    </xf>
    <xf numFmtId="0" fontId="5" fillId="11" borderId="13" xfId="0" applyFont="1" applyFill="1" applyBorder="1" applyAlignment="1">
      <alignment horizontal="left" vertical="top" wrapText="1"/>
    </xf>
    <xf numFmtId="0" fontId="5" fillId="11" borderId="3" xfId="0" applyFont="1" applyFill="1" applyBorder="1" applyAlignment="1">
      <alignment horizontal="left" vertical="top" wrapText="1"/>
    </xf>
    <xf numFmtId="0" fontId="35" fillId="6" borderId="0" xfId="0" applyFont="1" applyFill="1" applyAlignment="1">
      <alignment horizontal="center" vertical="center"/>
    </xf>
    <xf numFmtId="0" fontId="1"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13" fillId="5" borderId="12" xfId="1" applyFont="1" applyFill="1" applyBorder="1" applyAlignment="1" applyProtection="1">
      <alignment horizontal="center" wrapText="1"/>
      <protection locked="0"/>
    </xf>
    <xf numFmtId="0" fontId="13" fillId="5" borderId="3" xfId="1" applyFont="1" applyFill="1" applyBorder="1" applyAlignment="1" applyProtection="1">
      <alignment horizontal="center" wrapText="1"/>
      <protection locked="0"/>
    </xf>
    <xf numFmtId="0" fontId="7" fillId="0" borderId="0" xfId="0" applyFont="1" applyAlignment="1" applyProtection="1">
      <alignment wrapText="1"/>
      <protection locked="0"/>
    </xf>
    <xf numFmtId="0" fontId="13" fillId="5" borderId="12" xfId="1" applyFont="1" applyFill="1" applyBorder="1" applyAlignment="1" applyProtection="1">
      <alignment horizontal="center"/>
      <protection locked="0"/>
    </xf>
    <xf numFmtId="0" fontId="13" fillId="5" borderId="13" xfId="1" applyFont="1" applyFill="1" applyBorder="1" applyAlignment="1" applyProtection="1">
      <alignment horizontal="center"/>
      <protection locked="0"/>
    </xf>
    <xf numFmtId="0" fontId="13" fillId="5" borderId="3" xfId="1" applyFont="1" applyFill="1" applyBorder="1" applyAlignment="1" applyProtection="1">
      <alignment horizontal="center"/>
      <protection locked="0"/>
    </xf>
    <xf numFmtId="0" fontId="22" fillId="12" borderId="1" xfId="0" applyFont="1" applyFill="1" applyBorder="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32" fillId="9" borderId="0" xfId="0" applyFont="1" applyFill="1" applyAlignment="1" applyProtection="1">
      <alignment horizontal="left" vertical="top" wrapText="1"/>
      <protection locked="0"/>
    </xf>
    <xf numFmtId="0" fontId="9" fillId="0" borderId="2"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1" fontId="22" fillId="0" borderId="1" xfId="0" applyNumberFormat="1" applyFont="1" applyBorder="1" applyAlignment="1" applyProtection="1">
      <alignment horizontal="center" vertical="center" wrapText="1"/>
      <protection locked="0"/>
    </xf>
    <xf numFmtId="164" fontId="5" fillId="3" borderId="1" xfId="0" applyNumberFormat="1" applyFont="1" applyFill="1" applyBorder="1" applyAlignment="1" applyProtection="1">
      <alignment horizontal="center" vertical="center"/>
      <protection locked="0"/>
    </xf>
    <xf numFmtId="168" fontId="22" fillId="0" borderId="15" xfId="0" applyNumberFormat="1" applyFont="1" applyBorder="1" applyAlignment="1" applyProtection="1">
      <alignment horizontal="left" vertical="top" wrapText="1"/>
      <protection locked="0"/>
    </xf>
    <xf numFmtId="166" fontId="7" fillId="3" borderId="7"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1" fontId="9" fillId="12" borderId="4" xfId="0" applyNumberFormat="1" applyFont="1" applyFill="1" applyBorder="1" applyAlignment="1" applyProtection="1">
      <alignment horizontal="center" vertical="center" wrapText="1"/>
      <protection locked="0"/>
    </xf>
    <xf numFmtId="1" fontId="9" fillId="12" borderId="9" xfId="0" applyNumberFormat="1" applyFont="1" applyFill="1" applyBorder="1" applyAlignment="1" applyProtection="1">
      <alignment horizontal="center" vertical="center" wrapText="1"/>
      <protection locked="0"/>
    </xf>
    <xf numFmtId="0" fontId="9" fillId="0" borderId="2" xfId="0" applyFont="1" applyBorder="1" applyAlignment="1" applyProtection="1">
      <alignment horizontal="left" wrapText="1"/>
      <protection locked="0"/>
    </xf>
    <xf numFmtId="0" fontId="9" fillId="0" borderId="15" xfId="0" applyFont="1" applyBorder="1" applyAlignment="1" applyProtection="1">
      <alignment horizontal="left" wrapText="1"/>
      <protection locked="0"/>
    </xf>
    <xf numFmtId="0" fontId="9" fillId="0" borderId="16"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0" xfId="0" applyFont="1" applyAlignment="1" applyProtection="1">
      <alignment horizontal="left" vertical="center" wrapText="1"/>
      <protection locked="0"/>
    </xf>
    <xf numFmtId="166" fontId="9" fillId="0" borderId="7" xfId="0" applyNumberFormat="1" applyFont="1" applyBorder="1" applyAlignment="1" applyProtection="1">
      <alignment horizontal="left" vertical="center" indent="1"/>
      <protection locked="0"/>
    </xf>
    <xf numFmtId="166" fontId="9" fillId="0" borderId="0" xfId="0" applyNumberFormat="1" applyFont="1" applyAlignment="1" applyProtection="1">
      <alignment horizontal="left" vertical="center" indent="1"/>
      <protection locked="0"/>
    </xf>
    <xf numFmtId="170" fontId="9" fillId="0" borderId="7" xfId="0" applyNumberFormat="1" applyFont="1" applyBorder="1" applyAlignment="1" applyProtection="1">
      <alignment horizontal="left" vertical="center" indent="1"/>
      <protection locked="0"/>
    </xf>
    <xf numFmtId="170" fontId="9" fillId="0" borderId="0" xfId="0" applyNumberFormat="1" applyFont="1" applyAlignment="1" applyProtection="1">
      <alignment horizontal="left" vertical="center" indent="1"/>
      <protection locked="0"/>
    </xf>
    <xf numFmtId="166" fontId="5" fillId="0" borderId="0" xfId="0" applyNumberFormat="1" applyFont="1" applyAlignment="1" applyProtection="1">
      <alignment horizontal="left" vertical="center" indent="1"/>
      <protection locked="0"/>
    </xf>
    <xf numFmtId="0" fontId="32" fillId="9" borderId="0" xfId="0" applyFont="1" applyFill="1" applyAlignment="1" applyProtection="1">
      <alignment horizontal="center" vertical="top" wrapText="1"/>
      <protection locked="0"/>
    </xf>
    <xf numFmtId="0" fontId="5" fillId="0" borderId="0" xfId="0" applyFont="1" applyAlignment="1" applyProtection="1">
      <alignment vertical="top" wrapText="1"/>
      <protection locked="0"/>
    </xf>
    <xf numFmtId="0" fontId="39" fillId="6" borderId="1" xfId="0" applyFont="1" applyFill="1" applyBorder="1" applyAlignment="1" applyProtection="1">
      <alignment horizontal="left" wrapText="1"/>
      <protection locked="0"/>
    </xf>
    <xf numFmtId="1" fontId="5" fillId="12" borderId="1" xfId="0" applyNumberFormat="1" applyFont="1" applyFill="1" applyBorder="1" applyAlignment="1" applyProtection="1">
      <alignment horizontal="center" vertical="center" wrapText="1"/>
      <protection locked="0"/>
    </xf>
    <xf numFmtId="166" fontId="7" fillId="3" borderId="1" xfId="0" applyNumberFormat="1" applyFont="1" applyFill="1" applyBorder="1" applyAlignment="1" applyProtection="1">
      <alignment horizontal="center" vertical="center"/>
      <protection locked="0"/>
    </xf>
    <xf numFmtId="0" fontId="39" fillId="0" borderId="1" xfId="0" applyFont="1" applyBorder="1" applyAlignment="1" applyProtection="1">
      <alignment horizontal="left" wrapText="1"/>
      <protection locked="0"/>
    </xf>
    <xf numFmtId="0" fontId="9" fillId="0" borderId="0" xfId="0" applyFont="1" applyAlignment="1" applyProtection="1">
      <alignment horizontal="left" vertical="top" wrapText="1"/>
      <protection locked="0"/>
    </xf>
    <xf numFmtId="1" fontId="5" fillId="12" borderId="12" xfId="0" applyNumberFormat="1" applyFont="1" applyFill="1" applyBorder="1" applyAlignment="1" applyProtection="1">
      <alignment horizontal="center" vertical="center" wrapText="1"/>
      <protection locked="0"/>
    </xf>
    <xf numFmtId="0" fontId="7" fillId="0" borderId="47" xfId="0" applyFont="1" applyBorder="1" applyAlignment="1" applyProtection="1">
      <alignment horizontal="left" vertical="top" wrapText="1"/>
      <protection locked="0"/>
    </xf>
    <xf numFmtId="0" fontId="7" fillId="0" borderId="0" xfId="0" applyFont="1" applyAlignment="1">
      <alignment horizontal="center" vertical="center"/>
    </xf>
    <xf numFmtId="0" fontId="5"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27" fillId="6" borderId="0" xfId="1" applyFont="1" applyFill="1" applyAlignment="1" applyProtection="1">
      <alignment horizontal="left"/>
      <protection locked="0"/>
    </xf>
    <xf numFmtId="0" fontId="36" fillId="0" borderId="0" xfId="0" applyFont="1" applyAlignment="1">
      <alignment horizontal="center" vertical="center" wrapText="1"/>
    </xf>
    <xf numFmtId="0" fontId="49" fillId="6" borderId="0" xfId="0" applyFont="1" applyFill="1" applyAlignment="1" applyProtection="1">
      <alignment horizontal="left" vertical="center"/>
      <protection locked="0"/>
    </xf>
    <xf numFmtId="0" fontId="50" fillId="6" borderId="0" xfId="3" applyFont="1" applyFill="1" applyAlignment="1" applyProtection="1">
      <alignment horizontal="left" vertical="center"/>
      <protection locked="0"/>
    </xf>
    <xf numFmtId="0" fontId="32" fillId="9" borderId="0" xfId="0" applyFont="1" applyFill="1" applyBorder="1" applyAlignment="1" applyProtection="1">
      <alignment horizontal="center" vertical="top" wrapText="1"/>
      <protection locked="0"/>
    </xf>
    <xf numFmtId="0" fontId="5" fillId="0" borderId="0" xfId="0" applyFont="1" applyBorder="1" applyProtection="1">
      <protection locked="0"/>
    </xf>
    <xf numFmtId="0" fontId="5" fillId="6" borderId="0" xfId="0" applyFont="1" applyFill="1" applyBorder="1" applyAlignment="1" applyProtection="1">
      <alignment horizontal="left" vertical="top" wrapText="1"/>
      <protection locked="0"/>
    </xf>
    <xf numFmtId="0" fontId="30" fillId="6" borderId="0" xfId="3" applyFont="1" applyFill="1" applyBorder="1" applyAlignment="1" applyProtection="1">
      <alignment horizontal="center" vertical="center" wrapText="1"/>
      <protection locked="0"/>
    </xf>
    <xf numFmtId="0" fontId="5" fillId="6" borderId="0" xfId="0" applyFont="1" applyFill="1" applyBorder="1" applyAlignment="1" applyProtection="1">
      <alignment horizontal="left" vertical="top"/>
      <protection locked="0"/>
    </xf>
    <xf numFmtId="0" fontId="5" fillId="6" borderId="0" xfId="0" applyFont="1" applyFill="1" applyBorder="1" applyProtection="1">
      <protection locked="0"/>
    </xf>
    <xf numFmtId="0" fontId="5" fillId="6" borderId="0" xfId="0" applyFont="1" applyFill="1" applyProtection="1">
      <protection locked="0"/>
    </xf>
    <xf numFmtId="1" fontId="5" fillId="6" borderId="0" xfId="0" applyNumberFormat="1" applyFont="1" applyFill="1" applyProtection="1">
      <protection locked="0"/>
    </xf>
    <xf numFmtId="0" fontId="8" fillId="6" borderId="0" xfId="0" applyFont="1" applyFill="1" applyProtection="1">
      <protection locked="0"/>
    </xf>
    <xf numFmtId="0" fontId="9" fillId="6" borderId="0" xfId="0" applyFont="1" applyFill="1" applyAlignment="1" applyProtection="1">
      <alignment horizontal="center" vertical="top" wrapText="1"/>
      <protection locked="0"/>
    </xf>
    <xf numFmtId="1" fontId="9" fillId="6" borderId="0" xfId="0" applyNumberFormat="1" applyFont="1" applyFill="1" applyAlignment="1" applyProtection="1">
      <alignment horizontal="center" vertical="top" wrapText="1"/>
      <protection locked="0"/>
    </xf>
    <xf numFmtId="1" fontId="10" fillId="6" borderId="0" xfId="0" applyNumberFormat="1" applyFont="1" applyFill="1" applyAlignment="1" applyProtection="1">
      <alignment horizontal="center" vertical="center"/>
      <protection locked="0"/>
    </xf>
    <xf numFmtId="0" fontId="5" fillId="6" borderId="0" xfId="0" applyFont="1" applyFill="1" applyAlignment="1">
      <alignment horizontal="center" vertical="center"/>
    </xf>
    <xf numFmtId="0" fontId="11" fillId="6" borderId="0" xfId="0" applyFont="1" applyFill="1" applyAlignment="1" applyProtection="1">
      <alignment horizontal="center"/>
      <protection locked="0"/>
    </xf>
    <xf numFmtId="0" fontId="5" fillId="6" borderId="47" xfId="0" applyFont="1" applyFill="1" applyBorder="1" applyProtection="1">
      <protection locked="0"/>
    </xf>
    <xf numFmtId="1" fontId="5" fillId="6" borderId="0" xfId="0" applyNumberFormat="1" applyFont="1" applyFill="1" applyAlignment="1" applyProtection="1">
      <alignment horizontal="left" vertical="center"/>
      <protection locked="0"/>
    </xf>
    <xf numFmtId="0" fontId="49" fillId="6" borderId="0" xfId="0" applyFont="1" applyFill="1" applyBorder="1" applyAlignment="1" applyProtection="1">
      <alignment horizontal="left" vertical="center"/>
      <protection locked="0"/>
    </xf>
    <xf numFmtId="0" fontId="1" fillId="6" borderId="0"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44" fillId="6" borderId="0" xfId="0" applyFont="1" applyFill="1" applyAlignment="1" applyProtection="1">
      <alignment horizontal="centerContinuous" vertical="center"/>
      <protection locked="0"/>
    </xf>
    <xf numFmtId="0" fontId="5" fillId="6" borderId="0" xfId="0" applyFont="1" applyFill="1" applyAlignment="1" applyProtection="1">
      <alignment horizontal="centerContinuous"/>
      <protection locked="0"/>
    </xf>
    <xf numFmtId="1" fontId="5" fillId="6" borderId="0" xfId="0" applyNumberFormat="1" applyFont="1" applyFill="1" applyAlignment="1" applyProtection="1">
      <alignment horizontal="centerContinuous" vertical="center"/>
      <protection locked="0"/>
    </xf>
    <xf numFmtId="0" fontId="5" fillId="6" borderId="0" xfId="0" applyFont="1" applyFill="1" applyAlignment="1" applyProtection="1">
      <alignment wrapText="1"/>
      <protection locked="0"/>
    </xf>
    <xf numFmtId="0" fontId="7" fillId="6" borderId="0" xfId="0" applyFont="1" applyFill="1" applyProtection="1">
      <protection locked="0"/>
    </xf>
    <xf numFmtId="0" fontId="1" fillId="6" borderId="0" xfId="0" applyFont="1" applyFill="1" applyAlignment="1" applyProtection="1">
      <alignment horizontal="left" vertical="top" wrapText="1"/>
      <protection locked="0"/>
    </xf>
    <xf numFmtId="0" fontId="5" fillId="6" borderId="0" xfId="0" applyFont="1" applyFill="1" applyAlignment="1" applyProtection="1">
      <alignment horizontal="left" vertical="top" wrapText="1"/>
      <protection locked="0"/>
    </xf>
    <xf numFmtId="0" fontId="5" fillId="6" borderId="0" xfId="0" applyFont="1" applyFill="1" applyAlignment="1" applyProtection="1">
      <alignment horizontal="left" vertical="top"/>
      <protection locked="0"/>
    </xf>
  </cellXfs>
  <cellStyles count="6">
    <cellStyle name="Currency" xfId="4" builtinId="4"/>
    <cellStyle name="Hyperlink" xfId="3" builtinId="8"/>
    <cellStyle name="Normal" xfId="0" builtinId="0"/>
    <cellStyle name="Normal 2" xfId="5" xr:uid="{00000000-0005-0000-0000-000004000000}"/>
    <cellStyle name="Normal_EXPSUM" xfId="1" xr:uid="{00000000-0005-0000-0000-000005000000}"/>
    <cellStyle name="Percent" xfId="2" builtinId="5"/>
  </cellStyles>
  <dxfs count="24">
    <dxf>
      <font>
        <color theme="0"/>
      </font>
      <fill>
        <patternFill>
          <bgColor theme="0"/>
        </patternFill>
      </fill>
      <border>
        <left/>
        <right/>
        <top/>
        <bottom/>
        <vertical/>
        <horizontal/>
      </border>
    </dxf>
    <dxf>
      <font>
        <color theme="0"/>
      </font>
      <fill>
        <patternFill>
          <bgColor theme="2" tint="-0.499984740745262"/>
        </patternFill>
      </fill>
    </dxf>
    <dxf>
      <font>
        <color theme="0"/>
      </font>
      <fill>
        <patternFill>
          <bgColor theme="0"/>
        </patternFill>
      </fill>
      <border>
        <left/>
        <right/>
        <top/>
        <bottom/>
        <vertical/>
        <horizontal/>
      </border>
    </dxf>
    <dxf>
      <font>
        <color theme="0"/>
      </font>
      <border>
        <left/>
        <right/>
        <top/>
        <bottom/>
        <vertical/>
        <horizontal/>
      </border>
    </dxf>
    <dxf>
      <font>
        <color theme="0"/>
      </font>
      <fill>
        <patternFill>
          <bgColor theme="0"/>
        </patternFill>
      </fill>
      <border>
        <left/>
        <right/>
        <top/>
        <bottom/>
        <vertical/>
        <horizontal/>
      </border>
    </dxf>
    <dxf>
      <font>
        <color theme="0"/>
      </font>
      <border>
        <left/>
        <right/>
        <top/>
        <bottom/>
        <vertical/>
        <horizontal/>
      </border>
    </dxf>
    <dxf>
      <font>
        <color theme="0"/>
      </font>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border>
        <left/>
        <right/>
        <top/>
        <bottom/>
        <vertical/>
        <horizontal/>
      </border>
    </dxf>
    <dxf>
      <font>
        <color theme="0"/>
      </font>
      <border>
        <left/>
        <right/>
        <top/>
        <bottom/>
        <vertical/>
        <horizontal/>
      </border>
    </dxf>
    <dxf>
      <font>
        <color theme="0"/>
      </font>
      <fill>
        <patternFill>
          <bgColor theme="0"/>
        </patternFill>
      </fill>
      <border>
        <left/>
        <right/>
        <top/>
        <bottom/>
        <vertical/>
        <horizontal/>
      </border>
    </dxf>
    <dxf>
      <font>
        <color theme="0"/>
      </font>
      <border>
        <left/>
        <right/>
        <top/>
        <bottom/>
        <vertical/>
        <horizontal/>
      </border>
    </dxf>
    <dxf>
      <font>
        <color theme="0"/>
      </font>
      <fill>
        <patternFill>
          <bgColor theme="0"/>
        </patternFill>
      </fill>
      <border>
        <right/>
        <top/>
        <bottom/>
        <vertical/>
        <horizontal/>
      </border>
    </dxf>
    <dxf>
      <font>
        <color theme="0"/>
      </font>
      <fill>
        <patternFill>
          <bgColor theme="0"/>
        </patternFill>
      </fill>
      <border>
        <left/>
        <right/>
        <top/>
        <bottom/>
        <vertical/>
        <horizontal/>
      </border>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font>
      <fill>
        <patternFill>
          <bgColor theme="0"/>
        </patternFill>
      </fill>
      <border>
        <left/>
        <right/>
        <top/>
        <bottom/>
        <vertical/>
        <horizontal/>
      </border>
    </dxf>
  </dxfs>
  <tableStyles count="0" defaultTableStyle="TableStyleMedium2" defaultPivotStyle="PivotStyleLight16"/>
  <colors>
    <mruColors>
      <color rgb="FFE2F0D9"/>
      <color rgb="FFFFD9D9"/>
      <color rgb="FFF2C1FF"/>
      <color rgb="FF4B0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iagrams/_rels/data1.xml.rels><?xml version="1.0" encoding="UTF-8" standalone="yes"?>
<Relationships xmlns="http://schemas.openxmlformats.org/package/2006/relationships"><Relationship Id="rId3" Type="http://schemas.openxmlformats.org/officeDocument/2006/relationships/hyperlink" Target="https://nimrc.org/medical-respite-recuperative-care-tool-kit/" TargetMode="External"/><Relationship Id="rId2" Type="http://schemas.openxmlformats.org/officeDocument/2006/relationships/hyperlink" Target="about:blank" TargetMode="External"/><Relationship Id="rId1" Type="http://schemas.openxmlformats.org/officeDocument/2006/relationships/hyperlink" Target="https://nimrc.org/contact-us/" TargetMode="External"/><Relationship Id="rId4" Type="http://schemas.openxmlformats.org/officeDocument/2006/relationships/hyperlink" Target="https://nimrc.org/wp-content/uploads/2022/01/Models-of-Medical-Respite-Care_January-2022.pdf" TargetMode="Externa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87C83C6-FD2D-49B8-A5AC-92FCFB3106E1}" type="doc">
      <dgm:prSet loTypeId="urn:microsoft.com/office/officeart/2005/8/layout/chevronAccent+Icon" loCatId="process" qsTypeId="urn:microsoft.com/office/officeart/2005/8/quickstyle/simple1" qsCatId="simple" csTypeId="urn:microsoft.com/office/officeart/2005/8/colors/accent1_2" csCatId="accent1" phldr="1"/>
      <dgm:spPr/>
    </dgm:pt>
    <dgm:pt modelId="{ADF5FC08-2D21-46D7-8A07-03DFE4015B22}">
      <dgm:prSet phldrT="[Text]" custT="1"/>
      <dgm:spPr>
        <a:solidFill>
          <a:schemeClr val="bg1">
            <a:lumMod val="95000"/>
          </a:schemeClr>
        </a:solidFill>
        <a:ln w="38100">
          <a:solidFill>
            <a:schemeClr val="tx2"/>
          </a:solidFill>
        </a:ln>
      </dgm:spPr>
      <dgm:t>
        <a:bodyPr/>
        <a:lstStyle/>
        <a:p>
          <a:r>
            <a:rPr lang="en-US" sz="1400" b="1" u="sng">
              <a:solidFill>
                <a:srgbClr val="00B0F0"/>
              </a:solidFill>
            </a:rPr>
            <a:t>Contact NIMRC for Technical Assistance</a:t>
          </a:r>
        </a:p>
      </dgm:t>
      <dgm:extLst>
        <a:ext uri="{E40237B7-FDA0-4F09-8148-C483321AD2D9}">
          <dgm14:cNvPr xmlns:dgm14="http://schemas.microsoft.com/office/drawing/2010/diagram" id="0" name="">
            <a:hlinkClick xmlns:r="http://schemas.openxmlformats.org/officeDocument/2006/relationships" r:id="rId1"/>
          </dgm14:cNvPr>
        </a:ext>
      </dgm:extLst>
    </dgm:pt>
    <dgm:pt modelId="{D61FC63B-742A-453A-9288-1EDFA47DB4C1}" type="parTrans" cxnId="{2B925448-0DAA-4D9F-BA7E-FF9BBB618194}">
      <dgm:prSet/>
      <dgm:spPr/>
      <dgm:t>
        <a:bodyPr/>
        <a:lstStyle/>
        <a:p>
          <a:endParaRPr lang="en-US"/>
        </a:p>
      </dgm:t>
    </dgm:pt>
    <dgm:pt modelId="{6F1688FC-F0B9-49DE-BEFD-AF78476809D3}" type="sibTrans" cxnId="{2B925448-0DAA-4D9F-BA7E-FF9BBB618194}">
      <dgm:prSet/>
      <dgm:spPr/>
      <dgm:t>
        <a:bodyPr/>
        <a:lstStyle/>
        <a:p>
          <a:endParaRPr lang="en-US"/>
        </a:p>
      </dgm:t>
    </dgm:pt>
    <dgm:pt modelId="{3BA4DE2D-BFDC-4A42-966C-33F185BD2951}">
      <dgm:prSet phldrT="[Text]" custT="1"/>
      <dgm:spPr>
        <a:solidFill>
          <a:schemeClr val="bg1">
            <a:lumMod val="95000"/>
          </a:schemeClr>
        </a:solidFill>
        <a:ln w="38100">
          <a:solidFill>
            <a:schemeClr val="tx2"/>
          </a:solidFill>
        </a:ln>
      </dgm:spPr>
      <dgm:t>
        <a:bodyPr/>
        <a:lstStyle/>
        <a:p>
          <a:r>
            <a:rPr lang="en-US" sz="1400" b="1" u="sng">
              <a:solidFill>
                <a:srgbClr val="00B0F0"/>
              </a:solidFill>
            </a:rPr>
            <a:t>Standards for Medical Respite Care Programs</a:t>
          </a:r>
        </a:p>
      </dgm:t>
      <dgm:extLst>
        <a:ext uri="{E40237B7-FDA0-4F09-8148-C483321AD2D9}">
          <dgm14:cNvPr xmlns:dgm14="http://schemas.microsoft.com/office/drawing/2010/diagram" id="0" name="">
            <a:hlinkClick xmlns:r="http://schemas.openxmlformats.org/officeDocument/2006/relationships" r:id="rId2"/>
          </dgm14:cNvPr>
        </a:ext>
      </dgm:extLst>
    </dgm:pt>
    <dgm:pt modelId="{A7463857-54F1-42BC-807E-6105523EE420}" type="parTrans" cxnId="{8FA4B501-B473-46DA-BD71-100A1238E785}">
      <dgm:prSet/>
      <dgm:spPr/>
      <dgm:t>
        <a:bodyPr/>
        <a:lstStyle/>
        <a:p>
          <a:endParaRPr lang="en-US"/>
        </a:p>
      </dgm:t>
    </dgm:pt>
    <dgm:pt modelId="{22C3E7CF-7862-443E-8817-19E160ED6E66}" type="sibTrans" cxnId="{8FA4B501-B473-46DA-BD71-100A1238E785}">
      <dgm:prSet/>
      <dgm:spPr/>
      <dgm:t>
        <a:bodyPr/>
        <a:lstStyle/>
        <a:p>
          <a:endParaRPr lang="en-US"/>
        </a:p>
      </dgm:t>
    </dgm:pt>
    <dgm:pt modelId="{8F1C220A-9423-4550-9B40-4B6F34EF3F86}">
      <dgm:prSet phldrT="[Text]" custT="1"/>
      <dgm:spPr>
        <a:solidFill>
          <a:schemeClr val="bg1">
            <a:lumMod val="95000"/>
          </a:schemeClr>
        </a:solidFill>
        <a:ln w="38100">
          <a:solidFill>
            <a:schemeClr val="tx2"/>
          </a:solidFill>
        </a:ln>
      </dgm:spPr>
      <dgm:t>
        <a:bodyPr/>
        <a:lstStyle/>
        <a:p>
          <a:r>
            <a:rPr lang="en-US" sz="1400" b="1" u="sng">
              <a:solidFill>
                <a:srgbClr val="00B0F0"/>
              </a:solidFill>
            </a:rPr>
            <a:t>Medical Respite Toolkit</a:t>
          </a:r>
        </a:p>
      </dgm:t>
      <dgm:extLst>
        <a:ext uri="{E40237B7-FDA0-4F09-8148-C483321AD2D9}">
          <dgm14:cNvPr xmlns:dgm14="http://schemas.microsoft.com/office/drawing/2010/diagram" id="0" name="">
            <a:hlinkClick xmlns:r="http://schemas.openxmlformats.org/officeDocument/2006/relationships" r:id="rId3"/>
          </dgm14:cNvPr>
        </a:ext>
      </dgm:extLst>
    </dgm:pt>
    <dgm:pt modelId="{EA3D0249-BB02-4329-A006-34E90733A55C}" type="parTrans" cxnId="{FFE176DD-4D94-4647-ABA5-DEB7CA5661B0}">
      <dgm:prSet/>
      <dgm:spPr/>
      <dgm:t>
        <a:bodyPr/>
        <a:lstStyle/>
        <a:p>
          <a:endParaRPr lang="en-US"/>
        </a:p>
      </dgm:t>
    </dgm:pt>
    <dgm:pt modelId="{2FD40E34-8A13-49E4-AD5C-8ACE559B9267}" type="sibTrans" cxnId="{FFE176DD-4D94-4647-ABA5-DEB7CA5661B0}">
      <dgm:prSet/>
      <dgm:spPr/>
      <dgm:t>
        <a:bodyPr/>
        <a:lstStyle/>
        <a:p>
          <a:endParaRPr lang="en-US"/>
        </a:p>
      </dgm:t>
    </dgm:pt>
    <dgm:pt modelId="{386B8980-A0F5-4D9D-9BFC-4B37F9A2A70B}">
      <dgm:prSet phldrT="[Text]" custT="1"/>
      <dgm:spPr>
        <a:solidFill>
          <a:schemeClr val="bg1">
            <a:lumMod val="95000"/>
          </a:schemeClr>
        </a:solidFill>
        <a:ln w="38100">
          <a:solidFill>
            <a:schemeClr val="tx2"/>
          </a:solidFill>
        </a:ln>
      </dgm:spPr>
      <dgm:t>
        <a:bodyPr/>
        <a:lstStyle/>
        <a:p>
          <a:r>
            <a:rPr lang="en-US" sz="1400" b="1" u="sng">
              <a:solidFill>
                <a:srgbClr val="00B0F0"/>
              </a:solidFill>
            </a:rPr>
            <a:t>Other Services Budget Tools from CSH</a:t>
          </a:r>
        </a:p>
      </dgm:t>
      <dgm:extLst>
        <a:ext uri="{E40237B7-FDA0-4F09-8148-C483321AD2D9}">
          <dgm14:cNvPr xmlns:dgm14="http://schemas.microsoft.com/office/drawing/2010/diagram" id="0" name="">
            <a:hlinkClick xmlns:r="http://schemas.openxmlformats.org/officeDocument/2006/relationships" r:id="rId2"/>
          </dgm14:cNvPr>
        </a:ext>
      </dgm:extLst>
    </dgm:pt>
    <dgm:pt modelId="{5E1C74AE-8C79-402B-8D3D-4E1BA576879F}" type="parTrans" cxnId="{39E55EA7-6284-4496-8A32-C5A678395FDF}">
      <dgm:prSet/>
      <dgm:spPr/>
      <dgm:t>
        <a:bodyPr/>
        <a:lstStyle/>
        <a:p>
          <a:endParaRPr lang="en-US"/>
        </a:p>
      </dgm:t>
    </dgm:pt>
    <dgm:pt modelId="{03D7BFE4-4278-4048-BACE-2F9035CA2625}" type="sibTrans" cxnId="{39E55EA7-6284-4496-8A32-C5A678395FDF}">
      <dgm:prSet/>
      <dgm:spPr/>
      <dgm:t>
        <a:bodyPr/>
        <a:lstStyle/>
        <a:p>
          <a:endParaRPr lang="en-US"/>
        </a:p>
      </dgm:t>
    </dgm:pt>
    <dgm:pt modelId="{49DD59AE-18FE-42F9-B44E-A55A06D740F4}">
      <dgm:prSet custT="1"/>
      <dgm:spPr>
        <a:ln w="38100">
          <a:solidFill>
            <a:schemeClr val="tx2"/>
          </a:solidFill>
        </a:ln>
      </dgm:spPr>
      <dgm:t>
        <a:bodyPr/>
        <a:lstStyle/>
        <a:p>
          <a:r>
            <a:rPr lang="en-US" sz="1400" b="1" u="sng">
              <a:solidFill>
                <a:srgbClr val="00B0F0"/>
              </a:solidFill>
            </a:rPr>
            <a:t>Models of Medical Respite Care</a:t>
          </a:r>
        </a:p>
      </dgm:t>
      <dgm:extLst>
        <a:ext uri="{E40237B7-FDA0-4F09-8148-C483321AD2D9}">
          <dgm14:cNvPr xmlns:dgm14="http://schemas.microsoft.com/office/drawing/2010/diagram" id="0" name="">
            <a:hlinkClick xmlns:r="http://schemas.openxmlformats.org/officeDocument/2006/relationships" r:id="rId4"/>
          </dgm14:cNvPr>
        </a:ext>
      </dgm:extLst>
    </dgm:pt>
    <dgm:pt modelId="{8A5053BC-F13A-4616-80C2-6EE0CED941F8}" type="parTrans" cxnId="{974AE0B9-416C-47E8-B80A-E62656A6A27B}">
      <dgm:prSet/>
      <dgm:spPr/>
      <dgm:t>
        <a:bodyPr/>
        <a:lstStyle/>
        <a:p>
          <a:endParaRPr lang="en-US"/>
        </a:p>
      </dgm:t>
    </dgm:pt>
    <dgm:pt modelId="{7897B0ED-D128-4A6A-B3EA-89729AF6F586}" type="sibTrans" cxnId="{974AE0B9-416C-47E8-B80A-E62656A6A27B}">
      <dgm:prSet/>
      <dgm:spPr/>
      <dgm:t>
        <a:bodyPr/>
        <a:lstStyle/>
        <a:p>
          <a:endParaRPr lang="en-US"/>
        </a:p>
      </dgm:t>
    </dgm:pt>
    <dgm:pt modelId="{8969B0F9-55BE-436E-9BF7-4DF0085C4569}">
      <dgm:prSet custT="1"/>
      <dgm:spPr>
        <a:ln w="38100">
          <a:solidFill>
            <a:schemeClr val="tx2"/>
          </a:solidFill>
        </a:ln>
      </dgm:spPr>
      <dgm:t>
        <a:bodyPr/>
        <a:lstStyle/>
        <a:p>
          <a:r>
            <a:rPr lang="en-US" sz="1400" b="1" u="sng">
              <a:solidFill>
                <a:srgbClr val="00B0F0"/>
              </a:solidFill>
            </a:rPr>
            <a:t>Potential Skills &amp; Staffing of Medical Respite Care</a:t>
          </a:r>
          <a:endParaRPr lang="en-US" sz="1400"/>
        </a:p>
      </dgm:t>
    </dgm:pt>
    <dgm:pt modelId="{F8F83C7E-D22A-40BC-9F74-EFE832891696}" type="parTrans" cxnId="{B2378E50-45BD-4DC0-986B-247EA6105798}">
      <dgm:prSet/>
      <dgm:spPr/>
      <dgm:t>
        <a:bodyPr/>
        <a:lstStyle/>
        <a:p>
          <a:endParaRPr lang="en-US"/>
        </a:p>
      </dgm:t>
    </dgm:pt>
    <dgm:pt modelId="{EEE32411-AF83-4469-97BF-BE43E3E66F62}" type="sibTrans" cxnId="{B2378E50-45BD-4DC0-986B-247EA6105798}">
      <dgm:prSet/>
      <dgm:spPr/>
      <dgm:t>
        <a:bodyPr/>
        <a:lstStyle/>
        <a:p>
          <a:endParaRPr lang="en-US"/>
        </a:p>
      </dgm:t>
    </dgm:pt>
    <dgm:pt modelId="{825F4322-6B88-4372-AA79-4ACA8CA80C34}">
      <dgm:prSet custT="1"/>
      <dgm:spPr>
        <a:ln w="38100">
          <a:solidFill>
            <a:schemeClr val="tx2"/>
          </a:solidFill>
        </a:ln>
      </dgm:spPr>
      <dgm:t>
        <a:bodyPr/>
        <a:lstStyle/>
        <a:p>
          <a:r>
            <a:rPr lang="en-US" sz="1400" b="1" u="sng">
              <a:solidFill>
                <a:srgbClr val="00B0F0"/>
              </a:solidFill>
            </a:rPr>
            <a:t>Medical Respite Program Planning Guide</a:t>
          </a:r>
        </a:p>
      </dgm:t>
      <dgm:extLst>
        <a:ext uri="{E40237B7-FDA0-4F09-8148-C483321AD2D9}">
          <dgm14:cNvPr xmlns:dgm14="http://schemas.microsoft.com/office/drawing/2010/diagram" id="0" name="">
            <a:hlinkClick xmlns:r="http://schemas.openxmlformats.org/officeDocument/2006/relationships" r:id="rId3"/>
          </dgm14:cNvPr>
        </a:ext>
      </dgm:extLst>
    </dgm:pt>
    <dgm:pt modelId="{060D9D9F-2BE1-400E-9F2D-14B948BDEEB9}" type="parTrans" cxnId="{664F8CED-4515-4769-9F2C-C89769E1016A}">
      <dgm:prSet/>
      <dgm:spPr/>
      <dgm:t>
        <a:bodyPr/>
        <a:lstStyle/>
        <a:p>
          <a:endParaRPr lang="en-US"/>
        </a:p>
      </dgm:t>
    </dgm:pt>
    <dgm:pt modelId="{BE00ABFD-193C-4D80-9CA8-E6D78C18ADDF}" type="sibTrans" cxnId="{664F8CED-4515-4769-9F2C-C89769E1016A}">
      <dgm:prSet/>
      <dgm:spPr/>
      <dgm:t>
        <a:bodyPr/>
        <a:lstStyle/>
        <a:p>
          <a:endParaRPr lang="en-US"/>
        </a:p>
      </dgm:t>
    </dgm:pt>
    <dgm:pt modelId="{5E9DD44C-8821-4E17-8483-F5546A193652}" type="pres">
      <dgm:prSet presAssocID="{087C83C6-FD2D-49B8-A5AC-92FCFB3106E1}" presName="Name0" presStyleCnt="0">
        <dgm:presLayoutVars>
          <dgm:dir/>
          <dgm:resizeHandles val="exact"/>
        </dgm:presLayoutVars>
      </dgm:prSet>
      <dgm:spPr/>
    </dgm:pt>
    <dgm:pt modelId="{C115B5C3-E403-451C-A2FA-4AE2807AE073}" type="pres">
      <dgm:prSet presAssocID="{3BA4DE2D-BFDC-4A42-966C-33F185BD2951}" presName="composite" presStyleCnt="0"/>
      <dgm:spPr/>
    </dgm:pt>
    <dgm:pt modelId="{ADB7C060-B5F5-4728-A6D8-3D20A6557FF4}" type="pres">
      <dgm:prSet presAssocID="{3BA4DE2D-BFDC-4A42-966C-33F185BD2951}" presName="bgChev" presStyleLbl="node1" presStyleIdx="0" presStyleCnt="7"/>
      <dgm:spPr/>
    </dgm:pt>
    <dgm:pt modelId="{28321E88-35F0-4781-8ED9-C8AB29188973}" type="pres">
      <dgm:prSet presAssocID="{3BA4DE2D-BFDC-4A42-966C-33F185BD2951}" presName="txNode" presStyleLbl="fgAcc1" presStyleIdx="0" presStyleCnt="7">
        <dgm:presLayoutVars>
          <dgm:bulletEnabled val="1"/>
        </dgm:presLayoutVars>
      </dgm:prSet>
      <dgm:spPr/>
    </dgm:pt>
    <dgm:pt modelId="{8612EFA0-F673-4911-A2BD-CC41DDC63F50}" type="pres">
      <dgm:prSet presAssocID="{22C3E7CF-7862-443E-8817-19E160ED6E66}" presName="compositeSpace" presStyleCnt="0"/>
      <dgm:spPr/>
    </dgm:pt>
    <dgm:pt modelId="{C18318B9-D6A9-489C-98CE-8D972AAE7599}" type="pres">
      <dgm:prSet presAssocID="{49DD59AE-18FE-42F9-B44E-A55A06D740F4}" presName="composite" presStyleCnt="0"/>
      <dgm:spPr/>
    </dgm:pt>
    <dgm:pt modelId="{816E397D-5D56-4CF4-8CF2-7AC75845E308}" type="pres">
      <dgm:prSet presAssocID="{49DD59AE-18FE-42F9-B44E-A55A06D740F4}" presName="bgChev" presStyleLbl="node1" presStyleIdx="1" presStyleCnt="7"/>
      <dgm:spPr/>
    </dgm:pt>
    <dgm:pt modelId="{CC37B9B6-FBA5-4C1E-B936-60264BB0D8BE}" type="pres">
      <dgm:prSet presAssocID="{49DD59AE-18FE-42F9-B44E-A55A06D740F4}" presName="txNode" presStyleLbl="fgAcc1" presStyleIdx="1" presStyleCnt="7">
        <dgm:presLayoutVars>
          <dgm:bulletEnabled val="1"/>
        </dgm:presLayoutVars>
      </dgm:prSet>
      <dgm:spPr/>
    </dgm:pt>
    <dgm:pt modelId="{465A989C-3C67-4C68-97F9-F945871ED507}" type="pres">
      <dgm:prSet presAssocID="{7897B0ED-D128-4A6A-B3EA-89729AF6F586}" presName="compositeSpace" presStyleCnt="0"/>
      <dgm:spPr/>
    </dgm:pt>
    <dgm:pt modelId="{BACE260F-F120-4588-A620-383864EF3577}" type="pres">
      <dgm:prSet presAssocID="{8969B0F9-55BE-436E-9BF7-4DF0085C4569}" presName="composite" presStyleCnt="0"/>
      <dgm:spPr/>
    </dgm:pt>
    <dgm:pt modelId="{09D6A43A-DBEC-44BC-A63D-C53B8150D0EA}" type="pres">
      <dgm:prSet presAssocID="{8969B0F9-55BE-436E-9BF7-4DF0085C4569}" presName="bgChev" presStyleLbl="node1" presStyleIdx="2" presStyleCnt="7"/>
      <dgm:spPr/>
    </dgm:pt>
    <dgm:pt modelId="{27579A58-2D51-4DB6-AF53-1228C8D5B33E}" type="pres">
      <dgm:prSet presAssocID="{8969B0F9-55BE-436E-9BF7-4DF0085C4569}" presName="txNode" presStyleLbl="fgAcc1" presStyleIdx="2" presStyleCnt="7">
        <dgm:presLayoutVars>
          <dgm:bulletEnabled val="1"/>
        </dgm:presLayoutVars>
      </dgm:prSet>
      <dgm:spPr/>
    </dgm:pt>
    <dgm:pt modelId="{661F403B-93D4-483E-AC9B-39253526FA5C}" type="pres">
      <dgm:prSet presAssocID="{EEE32411-AF83-4469-97BF-BE43E3E66F62}" presName="compositeSpace" presStyleCnt="0"/>
      <dgm:spPr/>
    </dgm:pt>
    <dgm:pt modelId="{2CE4B669-9C1C-4961-9506-531D3405D07D}" type="pres">
      <dgm:prSet presAssocID="{825F4322-6B88-4372-AA79-4ACA8CA80C34}" presName="composite" presStyleCnt="0"/>
      <dgm:spPr/>
    </dgm:pt>
    <dgm:pt modelId="{6AC9B35D-903C-442D-BC25-853081F7DD2F}" type="pres">
      <dgm:prSet presAssocID="{825F4322-6B88-4372-AA79-4ACA8CA80C34}" presName="bgChev" presStyleLbl="node1" presStyleIdx="3" presStyleCnt="7"/>
      <dgm:spPr/>
    </dgm:pt>
    <dgm:pt modelId="{2A4D566A-53A2-4256-B1E0-49472A74B0E1}" type="pres">
      <dgm:prSet presAssocID="{825F4322-6B88-4372-AA79-4ACA8CA80C34}" presName="txNode" presStyleLbl="fgAcc1" presStyleIdx="3" presStyleCnt="7">
        <dgm:presLayoutVars>
          <dgm:bulletEnabled val="1"/>
        </dgm:presLayoutVars>
      </dgm:prSet>
      <dgm:spPr/>
    </dgm:pt>
    <dgm:pt modelId="{84C9028B-0D35-41EE-B83B-571D801C2783}" type="pres">
      <dgm:prSet presAssocID="{BE00ABFD-193C-4D80-9CA8-E6D78C18ADDF}" presName="compositeSpace" presStyleCnt="0"/>
      <dgm:spPr/>
    </dgm:pt>
    <dgm:pt modelId="{164431D8-6C59-490C-A16D-07681E28E8C0}" type="pres">
      <dgm:prSet presAssocID="{8F1C220A-9423-4550-9B40-4B6F34EF3F86}" presName="composite" presStyleCnt="0"/>
      <dgm:spPr/>
    </dgm:pt>
    <dgm:pt modelId="{0911CD7C-BB75-4DB2-A58C-3E5F2148983A}" type="pres">
      <dgm:prSet presAssocID="{8F1C220A-9423-4550-9B40-4B6F34EF3F86}" presName="bgChev" presStyleLbl="node1" presStyleIdx="4" presStyleCnt="7"/>
      <dgm:spPr/>
    </dgm:pt>
    <dgm:pt modelId="{4911981B-B2C5-4D72-A8D7-3CB22FEC5174}" type="pres">
      <dgm:prSet presAssocID="{8F1C220A-9423-4550-9B40-4B6F34EF3F86}" presName="txNode" presStyleLbl="fgAcc1" presStyleIdx="4" presStyleCnt="7">
        <dgm:presLayoutVars>
          <dgm:bulletEnabled val="1"/>
        </dgm:presLayoutVars>
      </dgm:prSet>
      <dgm:spPr/>
    </dgm:pt>
    <dgm:pt modelId="{3EFC7B67-D698-4735-88A6-09CB0A0B3081}" type="pres">
      <dgm:prSet presAssocID="{2FD40E34-8A13-49E4-AD5C-8ACE559B9267}" presName="compositeSpace" presStyleCnt="0"/>
      <dgm:spPr/>
    </dgm:pt>
    <dgm:pt modelId="{9BEF7CDF-2CC2-40F6-976A-780B232C5990}" type="pres">
      <dgm:prSet presAssocID="{ADF5FC08-2D21-46D7-8A07-03DFE4015B22}" presName="composite" presStyleCnt="0"/>
      <dgm:spPr/>
    </dgm:pt>
    <dgm:pt modelId="{B68F837A-5B06-4042-AC48-5EBE835D59B5}" type="pres">
      <dgm:prSet presAssocID="{ADF5FC08-2D21-46D7-8A07-03DFE4015B22}" presName="bgChev" presStyleLbl="node1" presStyleIdx="5" presStyleCnt="7"/>
      <dgm:spPr>
        <a:solidFill>
          <a:schemeClr val="accent1"/>
        </a:solidFill>
      </dgm:spPr>
    </dgm:pt>
    <dgm:pt modelId="{56BF3D58-521E-429C-99CF-AC7B4598CBC5}" type="pres">
      <dgm:prSet presAssocID="{ADF5FC08-2D21-46D7-8A07-03DFE4015B22}" presName="txNode" presStyleLbl="fgAcc1" presStyleIdx="5" presStyleCnt="7">
        <dgm:presLayoutVars>
          <dgm:bulletEnabled val="1"/>
        </dgm:presLayoutVars>
      </dgm:prSet>
      <dgm:spPr/>
    </dgm:pt>
    <dgm:pt modelId="{43D47AF2-8647-4D5A-A089-2038C5EB5680}" type="pres">
      <dgm:prSet presAssocID="{6F1688FC-F0B9-49DE-BEFD-AF78476809D3}" presName="compositeSpace" presStyleCnt="0"/>
      <dgm:spPr/>
    </dgm:pt>
    <dgm:pt modelId="{96034832-4E8C-4CD4-8F3D-7990540771AE}" type="pres">
      <dgm:prSet presAssocID="{386B8980-A0F5-4D9D-9BFC-4B37F9A2A70B}" presName="composite" presStyleCnt="0"/>
      <dgm:spPr/>
    </dgm:pt>
    <dgm:pt modelId="{D9E42CA1-C33D-4F9C-B411-CCF6131DD466}" type="pres">
      <dgm:prSet presAssocID="{386B8980-A0F5-4D9D-9BFC-4B37F9A2A70B}" presName="bgChev" presStyleLbl="node1" presStyleIdx="6" presStyleCnt="7"/>
      <dgm:spPr/>
    </dgm:pt>
    <dgm:pt modelId="{0F753B68-5C91-4F36-AC8E-B730F826D52E}" type="pres">
      <dgm:prSet presAssocID="{386B8980-A0F5-4D9D-9BFC-4B37F9A2A70B}" presName="txNode" presStyleLbl="fgAcc1" presStyleIdx="6" presStyleCnt="7">
        <dgm:presLayoutVars>
          <dgm:bulletEnabled val="1"/>
        </dgm:presLayoutVars>
      </dgm:prSet>
      <dgm:spPr/>
    </dgm:pt>
  </dgm:ptLst>
  <dgm:cxnLst>
    <dgm:cxn modelId="{8FA4B501-B473-46DA-BD71-100A1238E785}" srcId="{087C83C6-FD2D-49B8-A5AC-92FCFB3106E1}" destId="{3BA4DE2D-BFDC-4A42-966C-33F185BD2951}" srcOrd="0" destOrd="0" parTransId="{A7463857-54F1-42BC-807E-6105523EE420}" sibTransId="{22C3E7CF-7862-443E-8817-19E160ED6E66}"/>
    <dgm:cxn modelId="{761BEA1D-99DA-4AC0-BC60-176C214AD78E}" type="presOf" srcId="{ADF5FC08-2D21-46D7-8A07-03DFE4015B22}" destId="{56BF3D58-521E-429C-99CF-AC7B4598CBC5}" srcOrd="0" destOrd="0" presId="urn:microsoft.com/office/officeart/2005/8/layout/chevronAccent+Icon"/>
    <dgm:cxn modelId="{A55F923E-9040-4D76-9DEE-32CBA19B00B8}" type="presOf" srcId="{825F4322-6B88-4372-AA79-4ACA8CA80C34}" destId="{2A4D566A-53A2-4256-B1E0-49472A74B0E1}" srcOrd="0" destOrd="0" presId="urn:microsoft.com/office/officeart/2005/8/layout/chevronAccent+Icon"/>
    <dgm:cxn modelId="{4E45DB5D-4088-46E3-9007-C0FCBCDAAE1B}" type="presOf" srcId="{386B8980-A0F5-4D9D-9BFC-4B37F9A2A70B}" destId="{0F753B68-5C91-4F36-AC8E-B730F826D52E}" srcOrd="0" destOrd="0" presId="urn:microsoft.com/office/officeart/2005/8/layout/chevronAccent+Icon"/>
    <dgm:cxn modelId="{2B925448-0DAA-4D9F-BA7E-FF9BBB618194}" srcId="{087C83C6-FD2D-49B8-A5AC-92FCFB3106E1}" destId="{ADF5FC08-2D21-46D7-8A07-03DFE4015B22}" srcOrd="5" destOrd="0" parTransId="{D61FC63B-742A-453A-9288-1EDFA47DB4C1}" sibTransId="{6F1688FC-F0B9-49DE-BEFD-AF78476809D3}"/>
    <dgm:cxn modelId="{B2378E50-45BD-4DC0-986B-247EA6105798}" srcId="{087C83C6-FD2D-49B8-A5AC-92FCFB3106E1}" destId="{8969B0F9-55BE-436E-9BF7-4DF0085C4569}" srcOrd="2" destOrd="0" parTransId="{F8F83C7E-D22A-40BC-9F74-EFE832891696}" sibTransId="{EEE32411-AF83-4469-97BF-BE43E3E66F62}"/>
    <dgm:cxn modelId="{D0C93478-0883-457A-8DB6-1F0CD2970BAD}" type="presOf" srcId="{49DD59AE-18FE-42F9-B44E-A55A06D740F4}" destId="{CC37B9B6-FBA5-4C1E-B936-60264BB0D8BE}" srcOrd="0" destOrd="0" presId="urn:microsoft.com/office/officeart/2005/8/layout/chevronAccent+Icon"/>
    <dgm:cxn modelId="{9849DE84-5369-4955-A22A-9FC93CA6EF72}" type="presOf" srcId="{8969B0F9-55BE-436E-9BF7-4DF0085C4569}" destId="{27579A58-2D51-4DB6-AF53-1228C8D5B33E}" srcOrd="0" destOrd="0" presId="urn:microsoft.com/office/officeart/2005/8/layout/chevronAccent+Icon"/>
    <dgm:cxn modelId="{39E55EA7-6284-4496-8A32-C5A678395FDF}" srcId="{087C83C6-FD2D-49B8-A5AC-92FCFB3106E1}" destId="{386B8980-A0F5-4D9D-9BFC-4B37F9A2A70B}" srcOrd="6" destOrd="0" parTransId="{5E1C74AE-8C79-402B-8D3D-4E1BA576879F}" sibTransId="{03D7BFE4-4278-4048-BACE-2F9035CA2625}"/>
    <dgm:cxn modelId="{974AE0B9-416C-47E8-B80A-E62656A6A27B}" srcId="{087C83C6-FD2D-49B8-A5AC-92FCFB3106E1}" destId="{49DD59AE-18FE-42F9-B44E-A55A06D740F4}" srcOrd="1" destOrd="0" parTransId="{8A5053BC-F13A-4616-80C2-6EE0CED941F8}" sibTransId="{7897B0ED-D128-4A6A-B3EA-89729AF6F586}"/>
    <dgm:cxn modelId="{7B29D0D0-F6A8-4522-818F-401A01CEB1DF}" type="presOf" srcId="{3BA4DE2D-BFDC-4A42-966C-33F185BD2951}" destId="{28321E88-35F0-4781-8ED9-C8AB29188973}" srcOrd="0" destOrd="0" presId="urn:microsoft.com/office/officeart/2005/8/layout/chevronAccent+Icon"/>
    <dgm:cxn modelId="{4F647BD1-67DA-429B-9FD2-E3AD14714144}" type="presOf" srcId="{8F1C220A-9423-4550-9B40-4B6F34EF3F86}" destId="{4911981B-B2C5-4D72-A8D7-3CB22FEC5174}" srcOrd="0" destOrd="0" presId="urn:microsoft.com/office/officeart/2005/8/layout/chevronAccent+Icon"/>
    <dgm:cxn modelId="{FFE176DD-4D94-4647-ABA5-DEB7CA5661B0}" srcId="{087C83C6-FD2D-49B8-A5AC-92FCFB3106E1}" destId="{8F1C220A-9423-4550-9B40-4B6F34EF3F86}" srcOrd="4" destOrd="0" parTransId="{EA3D0249-BB02-4329-A006-34E90733A55C}" sibTransId="{2FD40E34-8A13-49E4-AD5C-8ACE559B9267}"/>
    <dgm:cxn modelId="{57204AE7-8BE1-4146-A498-A46E76E18605}" type="presOf" srcId="{087C83C6-FD2D-49B8-A5AC-92FCFB3106E1}" destId="{5E9DD44C-8821-4E17-8483-F5546A193652}" srcOrd="0" destOrd="0" presId="urn:microsoft.com/office/officeart/2005/8/layout/chevronAccent+Icon"/>
    <dgm:cxn modelId="{664F8CED-4515-4769-9F2C-C89769E1016A}" srcId="{087C83C6-FD2D-49B8-A5AC-92FCFB3106E1}" destId="{825F4322-6B88-4372-AA79-4ACA8CA80C34}" srcOrd="3" destOrd="0" parTransId="{060D9D9F-2BE1-400E-9F2D-14B948BDEEB9}" sibTransId="{BE00ABFD-193C-4D80-9CA8-E6D78C18ADDF}"/>
    <dgm:cxn modelId="{05413983-B698-4C69-A58D-FF9D5E93F406}" type="presParOf" srcId="{5E9DD44C-8821-4E17-8483-F5546A193652}" destId="{C115B5C3-E403-451C-A2FA-4AE2807AE073}" srcOrd="0" destOrd="0" presId="urn:microsoft.com/office/officeart/2005/8/layout/chevronAccent+Icon"/>
    <dgm:cxn modelId="{BB2342E9-214B-4491-AD55-8E2BFA021018}" type="presParOf" srcId="{C115B5C3-E403-451C-A2FA-4AE2807AE073}" destId="{ADB7C060-B5F5-4728-A6D8-3D20A6557FF4}" srcOrd="0" destOrd="0" presId="urn:microsoft.com/office/officeart/2005/8/layout/chevronAccent+Icon"/>
    <dgm:cxn modelId="{FB6B808D-D7B4-4822-982E-8EE67D8579F9}" type="presParOf" srcId="{C115B5C3-E403-451C-A2FA-4AE2807AE073}" destId="{28321E88-35F0-4781-8ED9-C8AB29188973}" srcOrd="1" destOrd="0" presId="urn:microsoft.com/office/officeart/2005/8/layout/chevronAccent+Icon"/>
    <dgm:cxn modelId="{9F9E7967-8090-41A6-8F7D-56EF1342C748}" type="presParOf" srcId="{5E9DD44C-8821-4E17-8483-F5546A193652}" destId="{8612EFA0-F673-4911-A2BD-CC41DDC63F50}" srcOrd="1" destOrd="0" presId="urn:microsoft.com/office/officeart/2005/8/layout/chevronAccent+Icon"/>
    <dgm:cxn modelId="{D82970C8-78FD-404B-8929-4B4BA757D56F}" type="presParOf" srcId="{5E9DD44C-8821-4E17-8483-F5546A193652}" destId="{C18318B9-D6A9-489C-98CE-8D972AAE7599}" srcOrd="2" destOrd="0" presId="urn:microsoft.com/office/officeart/2005/8/layout/chevronAccent+Icon"/>
    <dgm:cxn modelId="{B213DD13-7063-4F2C-8FE7-F9A03DC9AE36}" type="presParOf" srcId="{C18318B9-D6A9-489C-98CE-8D972AAE7599}" destId="{816E397D-5D56-4CF4-8CF2-7AC75845E308}" srcOrd="0" destOrd="0" presId="urn:microsoft.com/office/officeart/2005/8/layout/chevronAccent+Icon"/>
    <dgm:cxn modelId="{92982E96-8439-4C8C-89A0-A61E0A4DE4F2}" type="presParOf" srcId="{C18318B9-D6A9-489C-98CE-8D972AAE7599}" destId="{CC37B9B6-FBA5-4C1E-B936-60264BB0D8BE}" srcOrd="1" destOrd="0" presId="urn:microsoft.com/office/officeart/2005/8/layout/chevronAccent+Icon"/>
    <dgm:cxn modelId="{5D3B3105-E493-41F4-A66E-C1AFB100D951}" type="presParOf" srcId="{5E9DD44C-8821-4E17-8483-F5546A193652}" destId="{465A989C-3C67-4C68-97F9-F945871ED507}" srcOrd="3" destOrd="0" presId="urn:microsoft.com/office/officeart/2005/8/layout/chevronAccent+Icon"/>
    <dgm:cxn modelId="{6DE01F39-1C27-4AD5-B15B-DA39980B4107}" type="presParOf" srcId="{5E9DD44C-8821-4E17-8483-F5546A193652}" destId="{BACE260F-F120-4588-A620-383864EF3577}" srcOrd="4" destOrd="0" presId="urn:microsoft.com/office/officeart/2005/8/layout/chevronAccent+Icon"/>
    <dgm:cxn modelId="{96E2B25E-6BE2-4B7B-82BE-63D4F6003722}" type="presParOf" srcId="{BACE260F-F120-4588-A620-383864EF3577}" destId="{09D6A43A-DBEC-44BC-A63D-C53B8150D0EA}" srcOrd="0" destOrd="0" presId="urn:microsoft.com/office/officeart/2005/8/layout/chevronAccent+Icon"/>
    <dgm:cxn modelId="{64DDD35C-5D51-429C-81A4-625587E69E4A}" type="presParOf" srcId="{BACE260F-F120-4588-A620-383864EF3577}" destId="{27579A58-2D51-4DB6-AF53-1228C8D5B33E}" srcOrd="1" destOrd="0" presId="urn:microsoft.com/office/officeart/2005/8/layout/chevronAccent+Icon"/>
    <dgm:cxn modelId="{FDC580F6-183F-4754-9B3E-2CBD5C527C92}" type="presParOf" srcId="{5E9DD44C-8821-4E17-8483-F5546A193652}" destId="{661F403B-93D4-483E-AC9B-39253526FA5C}" srcOrd="5" destOrd="0" presId="urn:microsoft.com/office/officeart/2005/8/layout/chevronAccent+Icon"/>
    <dgm:cxn modelId="{9043C4FE-3B42-403F-A389-656B8B774463}" type="presParOf" srcId="{5E9DD44C-8821-4E17-8483-F5546A193652}" destId="{2CE4B669-9C1C-4961-9506-531D3405D07D}" srcOrd="6" destOrd="0" presId="urn:microsoft.com/office/officeart/2005/8/layout/chevronAccent+Icon"/>
    <dgm:cxn modelId="{1B903415-345D-4AF2-9CF5-1A67EDF40E40}" type="presParOf" srcId="{2CE4B669-9C1C-4961-9506-531D3405D07D}" destId="{6AC9B35D-903C-442D-BC25-853081F7DD2F}" srcOrd="0" destOrd="0" presId="urn:microsoft.com/office/officeart/2005/8/layout/chevronAccent+Icon"/>
    <dgm:cxn modelId="{3E2265DC-A67D-4529-A385-0E2BFB3E3AC9}" type="presParOf" srcId="{2CE4B669-9C1C-4961-9506-531D3405D07D}" destId="{2A4D566A-53A2-4256-B1E0-49472A74B0E1}" srcOrd="1" destOrd="0" presId="urn:microsoft.com/office/officeart/2005/8/layout/chevronAccent+Icon"/>
    <dgm:cxn modelId="{C6C6A6FF-784C-46C5-8416-5DA777796CFA}" type="presParOf" srcId="{5E9DD44C-8821-4E17-8483-F5546A193652}" destId="{84C9028B-0D35-41EE-B83B-571D801C2783}" srcOrd="7" destOrd="0" presId="urn:microsoft.com/office/officeart/2005/8/layout/chevronAccent+Icon"/>
    <dgm:cxn modelId="{9A99431B-F445-478F-B697-7D36D4CDE247}" type="presParOf" srcId="{5E9DD44C-8821-4E17-8483-F5546A193652}" destId="{164431D8-6C59-490C-A16D-07681E28E8C0}" srcOrd="8" destOrd="0" presId="urn:microsoft.com/office/officeart/2005/8/layout/chevronAccent+Icon"/>
    <dgm:cxn modelId="{22271D05-8C92-4718-9E15-2F63BC8A3D3A}" type="presParOf" srcId="{164431D8-6C59-490C-A16D-07681E28E8C0}" destId="{0911CD7C-BB75-4DB2-A58C-3E5F2148983A}" srcOrd="0" destOrd="0" presId="urn:microsoft.com/office/officeart/2005/8/layout/chevronAccent+Icon"/>
    <dgm:cxn modelId="{79204764-16C0-4564-91C1-C2D10D16548D}" type="presParOf" srcId="{164431D8-6C59-490C-A16D-07681E28E8C0}" destId="{4911981B-B2C5-4D72-A8D7-3CB22FEC5174}" srcOrd="1" destOrd="0" presId="urn:microsoft.com/office/officeart/2005/8/layout/chevronAccent+Icon"/>
    <dgm:cxn modelId="{1E9A620E-2FC8-4A72-ABF4-DAAA1DB658E6}" type="presParOf" srcId="{5E9DD44C-8821-4E17-8483-F5546A193652}" destId="{3EFC7B67-D698-4735-88A6-09CB0A0B3081}" srcOrd="9" destOrd="0" presId="urn:microsoft.com/office/officeart/2005/8/layout/chevronAccent+Icon"/>
    <dgm:cxn modelId="{E8D82820-A712-4248-A257-F3C03FC34644}" type="presParOf" srcId="{5E9DD44C-8821-4E17-8483-F5546A193652}" destId="{9BEF7CDF-2CC2-40F6-976A-780B232C5990}" srcOrd="10" destOrd="0" presId="urn:microsoft.com/office/officeart/2005/8/layout/chevronAccent+Icon"/>
    <dgm:cxn modelId="{3F38C169-3796-46FA-999D-845D012F54CC}" type="presParOf" srcId="{9BEF7CDF-2CC2-40F6-976A-780B232C5990}" destId="{B68F837A-5B06-4042-AC48-5EBE835D59B5}" srcOrd="0" destOrd="0" presId="urn:microsoft.com/office/officeart/2005/8/layout/chevronAccent+Icon"/>
    <dgm:cxn modelId="{4A65BBCD-DA66-4C0E-B752-797A11FADC90}" type="presParOf" srcId="{9BEF7CDF-2CC2-40F6-976A-780B232C5990}" destId="{56BF3D58-521E-429C-99CF-AC7B4598CBC5}" srcOrd="1" destOrd="0" presId="urn:microsoft.com/office/officeart/2005/8/layout/chevronAccent+Icon"/>
    <dgm:cxn modelId="{0E348CEF-F8D3-42BA-A54D-1664A961D243}" type="presParOf" srcId="{5E9DD44C-8821-4E17-8483-F5546A193652}" destId="{43D47AF2-8647-4D5A-A089-2038C5EB5680}" srcOrd="11" destOrd="0" presId="urn:microsoft.com/office/officeart/2005/8/layout/chevronAccent+Icon"/>
    <dgm:cxn modelId="{7195F3BF-9F81-4286-8DD9-BBBC450272C8}" type="presParOf" srcId="{5E9DD44C-8821-4E17-8483-F5546A193652}" destId="{96034832-4E8C-4CD4-8F3D-7990540771AE}" srcOrd="12" destOrd="0" presId="urn:microsoft.com/office/officeart/2005/8/layout/chevronAccent+Icon"/>
    <dgm:cxn modelId="{97B89142-3305-4673-AA59-09EFB0C01680}" type="presParOf" srcId="{96034832-4E8C-4CD4-8F3D-7990540771AE}" destId="{D9E42CA1-C33D-4F9C-B411-CCF6131DD466}" srcOrd="0" destOrd="0" presId="urn:microsoft.com/office/officeart/2005/8/layout/chevronAccent+Icon"/>
    <dgm:cxn modelId="{5F7CCB33-D7FB-414A-8216-C82CB5F59319}" type="presParOf" srcId="{96034832-4E8C-4CD4-8F3D-7990540771AE}" destId="{0F753B68-5C91-4F36-AC8E-B730F826D52E}" srcOrd="1" destOrd="0" presId="urn:microsoft.com/office/officeart/2005/8/layout/chevronAccent+Icon"/>
  </dgm:cxnLst>
  <dgm:bg>
    <a:noFill/>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DB7C060-B5F5-4728-A6D8-3D20A6557FF4}">
      <dsp:nvSpPr>
        <dsp:cNvPr id="0" name=""/>
        <dsp:cNvSpPr/>
      </dsp:nvSpPr>
      <dsp:spPr>
        <a:xfrm>
          <a:off x="6024" y="513026"/>
          <a:ext cx="2015773" cy="778088"/>
        </a:xfrm>
        <a:prstGeom prst="chevron">
          <a:avLst>
            <a:gd name="adj" fmla="val 4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8321E88-35F0-4781-8ED9-C8AB29188973}">
      <dsp:nvSpPr>
        <dsp:cNvPr id="0" name=""/>
        <dsp:cNvSpPr/>
      </dsp:nvSpPr>
      <dsp:spPr>
        <a:xfrm>
          <a:off x="543564" y="707548"/>
          <a:ext cx="1702208" cy="778088"/>
        </a:xfrm>
        <a:prstGeom prst="roundRect">
          <a:avLst>
            <a:gd name="adj" fmla="val 10000"/>
          </a:avLst>
        </a:prstGeom>
        <a:solidFill>
          <a:schemeClr val="bg1">
            <a:lumMod val="95000"/>
          </a:schemeClr>
        </a:solidFill>
        <a:ln w="38100" cap="flat" cmpd="sng" algn="ctr">
          <a:solidFill>
            <a:schemeClr val="tx2"/>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9568" tIns="99568" rIns="99568" bIns="99568" numCol="1" spcCol="1270" anchor="ctr" anchorCtr="0">
          <a:noAutofit/>
        </a:bodyPr>
        <a:lstStyle/>
        <a:p>
          <a:pPr marL="0" lvl="0" indent="0" algn="ctr" defTabSz="622300">
            <a:lnSpc>
              <a:spcPct val="90000"/>
            </a:lnSpc>
            <a:spcBef>
              <a:spcPct val="0"/>
            </a:spcBef>
            <a:spcAft>
              <a:spcPct val="35000"/>
            </a:spcAft>
            <a:buNone/>
          </a:pPr>
          <a:r>
            <a:rPr lang="en-US" sz="1400" b="1" u="sng" kern="1200">
              <a:solidFill>
                <a:srgbClr val="00B0F0"/>
              </a:solidFill>
            </a:rPr>
            <a:t>Standards for Medical Respite Care Programs</a:t>
          </a:r>
        </a:p>
      </dsp:txBody>
      <dsp:txXfrm>
        <a:off x="566353" y="730337"/>
        <a:ext cx="1656630" cy="732510"/>
      </dsp:txXfrm>
    </dsp:sp>
    <dsp:sp modelId="{816E397D-5D56-4CF4-8CF2-7AC75845E308}">
      <dsp:nvSpPr>
        <dsp:cNvPr id="0" name=""/>
        <dsp:cNvSpPr/>
      </dsp:nvSpPr>
      <dsp:spPr>
        <a:xfrm>
          <a:off x="2308485" y="513026"/>
          <a:ext cx="2015773" cy="778088"/>
        </a:xfrm>
        <a:prstGeom prst="chevron">
          <a:avLst>
            <a:gd name="adj" fmla="val 4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C37B9B6-FBA5-4C1E-B936-60264BB0D8BE}">
      <dsp:nvSpPr>
        <dsp:cNvPr id="0" name=""/>
        <dsp:cNvSpPr/>
      </dsp:nvSpPr>
      <dsp:spPr>
        <a:xfrm>
          <a:off x="2846025" y="707548"/>
          <a:ext cx="1702208" cy="778088"/>
        </a:xfrm>
        <a:prstGeom prst="roundRect">
          <a:avLst>
            <a:gd name="adj" fmla="val 10000"/>
          </a:avLst>
        </a:prstGeom>
        <a:solidFill>
          <a:schemeClr val="lt1">
            <a:alpha val="90000"/>
            <a:hueOff val="0"/>
            <a:satOff val="0"/>
            <a:lumOff val="0"/>
            <a:alphaOff val="0"/>
          </a:schemeClr>
        </a:solidFill>
        <a:ln w="38100" cap="flat" cmpd="sng" algn="ctr">
          <a:solidFill>
            <a:schemeClr val="tx2"/>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9568" tIns="99568" rIns="99568" bIns="99568" numCol="1" spcCol="1270" anchor="ctr" anchorCtr="0">
          <a:noAutofit/>
        </a:bodyPr>
        <a:lstStyle/>
        <a:p>
          <a:pPr marL="0" lvl="0" indent="0" algn="ctr" defTabSz="622300">
            <a:lnSpc>
              <a:spcPct val="90000"/>
            </a:lnSpc>
            <a:spcBef>
              <a:spcPct val="0"/>
            </a:spcBef>
            <a:spcAft>
              <a:spcPct val="35000"/>
            </a:spcAft>
            <a:buNone/>
          </a:pPr>
          <a:r>
            <a:rPr lang="en-US" sz="1400" b="1" u="sng" kern="1200">
              <a:solidFill>
                <a:srgbClr val="00B0F0"/>
              </a:solidFill>
            </a:rPr>
            <a:t>Models of Medical Respite Care</a:t>
          </a:r>
        </a:p>
      </dsp:txBody>
      <dsp:txXfrm>
        <a:off x="2868814" y="730337"/>
        <a:ext cx="1656630" cy="732510"/>
      </dsp:txXfrm>
    </dsp:sp>
    <dsp:sp modelId="{09D6A43A-DBEC-44BC-A63D-C53B8150D0EA}">
      <dsp:nvSpPr>
        <dsp:cNvPr id="0" name=""/>
        <dsp:cNvSpPr/>
      </dsp:nvSpPr>
      <dsp:spPr>
        <a:xfrm>
          <a:off x="4610946" y="513026"/>
          <a:ext cx="2015773" cy="778088"/>
        </a:xfrm>
        <a:prstGeom prst="chevron">
          <a:avLst>
            <a:gd name="adj" fmla="val 4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7579A58-2D51-4DB6-AF53-1228C8D5B33E}">
      <dsp:nvSpPr>
        <dsp:cNvPr id="0" name=""/>
        <dsp:cNvSpPr/>
      </dsp:nvSpPr>
      <dsp:spPr>
        <a:xfrm>
          <a:off x="5148486" y="707548"/>
          <a:ext cx="1702208" cy="778088"/>
        </a:xfrm>
        <a:prstGeom prst="roundRect">
          <a:avLst>
            <a:gd name="adj" fmla="val 10000"/>
          </a:avLst>
        </a:prstGeom>
        <a:solidFill>
          <a:schemeClr val="lt1">
            <a:alpha val="90000"/>
            <a:hueOff val="0"/>
            <a:satOff val="0"/>
            <a:lumOff val="0"/>
            <a:alphaOff val="0"/>
          </a:schemeClr>
        </a:solidFill>
        <a:ln w="38100" cap="flat" cmpd="sng" algn="ctr">
          <a:solidFill>
            <a:schemeClr val="tx2"/>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9568" tIns="99568" rIns="99568" bIns="99568" numCol="1" spcCol="1270" anchor="ctr" anchorCtr="0">
          <a:noAutofit/>
        </a:bodyPr>
        <a:lstStyle/>
        <a:p>
          <a:pPr marL="0" lvl="0" indent="0" algn="ctr" defTabSz="622300">
            <a:lnSpc>
              <a:spcPct val="90000"/>
            </a:lnSpc>
            <a:spcBef>
              <a:spcPct val="0"/>
            </a:spcBef>
            <a:spcAft>
              <a:spcPct val="35000"/>
            </a:spcAft>
            <a:buNone/>
          </a:pPr>
          <a:r>
            <a:rPr lang="en-US" sz="1400" b="1" u="sng" kern="1200">
              <a:solidFill>
                <a:srgbClr val="00B0F0"/>
              </a:solidFill>
            </a:rPr>
            <a:t>Potential Skills &amp; Staffing of Medical Respite Care</a:t>
          </a:r>
          <a:endParaRPr lang="en-US" sz="1400" kern="1200"/>
        </a:p>
      </dsp:txBody>
      <dsp:txXfrm>
        <a:off x="5171275" y="730337"/>
        <a:ext cx="1656630" cy="732510"/>
      </dsp:txXfrm>
    </dsp:sp>
    <dsp:sp modelId="{6AC9B35D-903C-442D-BC25-853081F7DD2F}">
      <dsp:nvSpPr>
        <dsp:cNvPr id="0" name=""/>
        <dsp:cNvSpPr/>
      </dsp:nvSpPr>
      <dsp:spPr>
        <a:xfrm>
          <a:off x="6913407" y="513026"/>
          <a:ext cx="2015773" cy="778088"/>
        </a:xfrm>
        <a:prstGeom prst="chevron">
          <a:avLst>
            <a:gd name="adj" fmla="val 4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A4D566A-53A2-4256-B1E0-49472A74B0E1}">
      <dsp:nvSpPr>
        <dsp:cNvPr id="0" name=""/>
        <dsp:cNvSpPr/>
      </dsp:nvSpPr>
      <dsp:spPr>
        <a:xfrm>
          <a:off x="7450947" y="707548"/>
          <a:ext cx="1702208" cy="778088"/>
        </a:xfrm>
        <a:prstGeom prst="roundRect">
          <a:avLst>
            <a:gd name="adj" fmla="val 10000"/>
          </a:avLst>
        </a:prstGeom>
        <a:solidFill>
          <a:schemeClr val="lt1">
            <a:alpha val="90000"/>
            <a:hueOff val="0"/>
            <a:satOff val="0"/>
            <a:lumOff val="0"/>
            <a:alphaOff val="0"/>
          </a:schemeClr>
        </a:solidFill>
        <a:ln w="38100" cap="flat" cmpd="sng" algn="ctr">
          <a:solidFill>
            <a:schemeClr val="tx2"/>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9568" tIns="99568" rIns="99568" bIns="99568" numCol="1" spcCol="1270" anchor="ctr" anchorCtr="0">
          <a:noAutofit/>
        </a:bodyPr>
        <a:lstStyle/>
        <a:p>
          <a:pPr marL="0" lvl="0" indent="0" algn="ctr" defTabSz="622300">
            <a:lnSpc>
              <a:spcPct val="90000"/>
            </a:lnSpc>
            <a:spcBef>
              <a:spcPct val="0"/>
            </a:spcBef>
            <a:spcAft>
              <a:spcPct val="35000"/>
            </a:spcAft>
            <a:buNone/>
          </a:pPr>
          <a:r>
            <a:rPr lang="en-US" sz="1400" b="1" u="sng" kern="1200">
              <a:solidFill>
                <a:srgbClr val="00B0F0"/>
              </a:solidFill>
            </a:rPr>
            <a:t>Medical Respite Program Planning Guide</a:t>
          </a:r>
        </a:p>
      </dsp:txBody>
      <dsp:txXfrm>
        <a:off x="7473736" y="730337"/>
        <a:ext cx="1656630" cy="732510"/>
      </dsp:txXfrm>
    </dsp:sp>
    <dsp:sp modelId="{0911CD7C-BB75-4DB2-A58C-3E5F2148983A}">
      <dsp:nvSpPr>
        <dsp:cNvPr id="0" name=""/>
        <dsp:cNvSpPr/>
      </dsp:nvSpPr>
      <dsp:spPr>
        <a:xfrm>
          <a:off x="9215868" y="513026"/>
          <a:ext cx="2015773" cy="778088"/>
        </a:xfrm>
        <a:prstGeom prst="chevron">
          <a:avLst>
            <a:gd name="adj" fmla="val 4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4911981B-B2C5-4D72-A8D7-3CB22FEC5174}">
      <dsp:nvSpPr>
        <dsp:cNvPr id="0" name=""/>
        <dsp:cNvSpPr/>
      </dsp:nvSpPr>
      <dsp:spPr>
        <a:xfrm>
          <a:off x="9753407" y="707548"/>
          <a:ext cx="1702208" cy="778088"/>
        </a:xfrm>
        <a:prstGeom prst="roundRect">
          <a:avLst>
            <a:gd name="adj" fmla="val 10000"/>
          </a:avLst>
        </a:prstGeom>
        <a:solidFill>
          <a:schemeClr val="bg1">
            <a:lumMod val="95000"/>
          </a:schemeClr>
        </a:solidFill>
        <a:ln w="38100" cap="flat" cmpd="sng" algn="ctr">
          <a:solidFill>
            <a:schemeClr val="tx2"/>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9568" tIns="99568" rIns="99568" bIns="99568" numCol="1" spcCol="1270" anchor="ctr" anchorCtr="0">
          <a:noAutofit/>
        </a:bodyPr>
        <a:lstStyle/>
        <a:p>
          <a:pPr marL="0" lvl="0" indent="0" algn="ctr" defTabSz="622300">
            <a:lnSpc>
              <a:spcPct val="90000"/>
            </a:lnSpc>
            <a:spcBef>
              <a:spcPct val="0"/>
            </a:spcBef>
            <a:spcAft>
              <a:spcPct val="35000"/>
            </a:spcAft>
            <a:buNone/>
          </a:pPr>
          <a:r>
            <a:rPr lang="en-US" sz="1400" b="1" u="sng" kern="1200">
              <a:solidFill>
                <a:srgbClr val="00B0F0"/>
              </a:solidFill>
            </a:rPr>
            <a:t>Medical Respite Toolkit</a:t>
          </a:r>
        </a:p>
      </dsp:txBody>
      <dsp:txXfrm>
        <a:off x="9776196" y="730337"/>
        <a:ext cx="1656630" cy="732510"/>
      </dsp:txXfrm>
    </dsp:sp>
    <dsp:sp modelId="{B68F837A-5B06-4042-AC48-5EBE835D59B5}">
      <dsp:nvSpPr>
        <dsp:cNvPr id="0" name=""/>
        <dsp:cNvSpPr/>
      </dsp:nvSpPr>
      <dsp:spPr>
        <a:xfrm>
          <a:off x="11518329" y="513026"/>
          <a:ext cx="2015773" cy="778088"/>
        </a:xfrm>
        <a:prstGeom prst="chevron">
          <a:avLst>
            <a:gd name="adj" fmla="val 40000"/>
          </a:avLst>
        </a:prstGeom>
        <a:solidFill>
          <a:schemeClr val="accent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56BF3D58-521E-429C-99CF-AC7B4598CBC5}">
      <dsp:nvSpPr>
        <dsp:cNvPr id="0" name=""/>
        <dsp:cNvSpPr/>
      </dsp:nvSpPr>
      <dsp:spPr>
        <a:xfrm>
          <a:off x="12055868" y="707548"/>
          <a:ext cx="1702208" cy="778088"/>
        </a:xfrm>
        <a:prstGeom prst="roundRect">
          <a:avLst>
            <a:gd name="adj" fmla="val 10000"/>
          </a:avLst>
        </a:prstGeom>
        <a:solidFill>
          <a:schemeClr val="bg1">
            <a:lumMod val="95000"/>
          </a:schemeClr>
        </a:solidFill>
        <a:ln w="38100" cap="flat" cmpd="sng" algn="ctr">
          <a:solidFill>
            <a:schemeClr val="tx2"/>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9568" tIns="99568" rIns="99568" bIns="99568" numCol="1" spcCol="1270" anchor="ctr" anchorCtr="0">
          <a:noAutofit/>
        </a:bodyPr>
        <a:lstStyle/>
        <a:p>
          <a:pPr marL="0" lvl="0" indent="0" algn="ctr" defTabSz="622300">
            <a:lnSpc>
              <a:spcPct val="90000"/>
            </a:lnSpc>
            <a:spcBef>
              <a:spcPct val="0"/>
            </a:spcBef>
            <a:spcAft>
              <a:spcPct val="35000"/>
            </a:spcAft>
            <a:buNone/>
          </a:pPr>
          <a:r>
            <a:rPr lang="en-US" sz="1400" b="1" u="sng" kern="1200">
              <a:solidFill>
                <a:srgbClr val="00B0F0"/>
              </a:solidFill>
            </a:rPr>
            <a:t>Contact NIMRC for Technical Assistance</a:t>
          </a:r>
        </a:p>
      </dsp:txBody>
      <dsp:txXfrm>
        <a:off x="12078657" y="730337"/>
        <a:ext cx="1656630" cy="732510"/>
      </dsp:txXfrm>
    </dsp:sp>
    <dsp:sp modelId="{D9E42CA1-C33D-4F9C-B411-CCF6131DD466}">
      <dsp:nvSpPr>
        <dsp:cNvPr id="0" name=""/>
        <dsp:cNvSpPr/>
      </dsp:nvSpPr>
      <dsp:spPr>
        <a:xfrm>
          <a:off x="13820790" y="513026"/>
          <a:ext cx="2015773" cy="778088"/>
        </a:xfrm>
        <a:prstGeom prst="chevron">
          <a:avLst>
            <a:gd name="adj" fmla="val 4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F753B68-5C91-4F36-AC8E-B730F826D52E}">
      <dsp:nvSpPr>
        <dsp:cNvPr id="0" name=""/>
        <dsp:cNvSpPr/>
      </dsp:nvSpPr>
      <dsp:spPr>
        <a:xfrm>
          <a:off x="14358329" y="707548"/>
          <a:ext cx="1702208" cy="778088"/>
        </a:xfrm>
        <a:prstGeom prst="roundRect">
          <a:avLst>
            <a:gd name="adj" fmla="val 10000"/>
          </a:avLst>
        </a:prstGeom>
        <a:solidFill>
          <a:schemeClr val="bg1">
            <a:lumMod val="95000"/>
          </a:schemeClr>
        </a:solidFill>
        <a:ln w="38100" cap="flat" cmpd="sng" algn="ctr">
          <a:solidFill>
            <a:schemeClr val="tx2"/>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9568" tIns="99568" rIns="99568" bIns="99568" numCol="1" spcCol="1270" anchor="ctr" anchorCtr="0">
          <a:noAutofit/>
        </a:bodyPr>
        <a:lstStyle/>
        <a:p>
          <a:pPr marL="0" lvl="0" indent="0" algn="ctr" defTabSz="622300">
            <a:lnSpc>
              <a:spcPct val="90000"/>
            </a:lnSpc>
            <a:spcBef>
              <a:spcPct val="0"/>
            </a:spcBef>
            <a:spcAft>
              <a:spcPct val="35000"/>
            </a:spcAft>
            <a:buNone/>
          </a:pPr>
          <a:r>
            <a:rPr lang="en-US" sz="1400" b="1" u="sng" kern="1200">
              <a:solidFill>
                <a:srgbClr val="00B0F0"/>
              </a:solidFill>
            </a:rPr>
            <a:t>Other Services Budget Tools from CSH</a:t>
          </a:r>
        </a:p>
      </dsp:txBody>
      <dsp:txXfrm>
        <a:off x="14381118" y="730337"/>
        <a:ext cx="1656630" cy="732510"/>
      </dsp:txXfrm>
    </dsp:sp>
  </dsp:spTree>
</dsp:drawing>
</file>

<file path=xl/diagrams/layout1.xml><?xml version="1.0" encoding="utf-8"?>
<dgm:layoutDef xmlns:dgm="http://schemas.openxmlformats.org/drawingml/2006/diagram" xmlns:a="http://schemas.openxmlformats.org/drawingml/2006/main" uniqueId="urn:microsoft.com/office/officeart/2005/8/layout/chevronAccent+Icon">
  <dgm:title val="Chevron Accent Process"/>
  <dgm:desc val="Use to show sequential steps in a task, process, or workflow, or to emphasize movement or direction. Works best with minimal Level 1 and Level 2 text."/>
  <dgm:catLst>
    <dgm:cat type="process" pri="9500"/>
    <dgm:cat type="officeonline" pri="2000"/>
  </dgm:catLst>
  <dgm:sampData useDef="1">
    <dgm:dataModel>
      <dgm:pt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primFontSz" for="des" forName="txNode" op="equ" val="65"/>
      <dgm:constr type="w" for="ch" forName="compositeSpace" refType="w" refFor="ch" refForName="composite" fact="0.02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bgChev"/>
              <dgm:constr type="w" for="ch" forName="bgChev" refType="w" fact="0.9"/>
              <dgm:constr type="t" for="ch" forName="bgChev"/>
              <dgm:constr type="h" for="ch" forName="bgChev" refType="w" refFor="ch" refForName="bgChev" fact="0.386"/>
              <dgm:constr type="l" for="ch" forName="txNode" refType="w" fact="0.24"/>
              <dgm:constr type="w" for="ch" forName="txNode" refType="w" fact="0.76"/>
              <dgm:constr type="t" for="ch" forName="txNode" refType="h" refFor="ch" refForName="bgChev" fact="0.25"/>
              <dgm:constr type="h" for="ch" forName="txNode" refType="h" refFor="ch" refForName="bgChev"/>
            </dgm:constrLst>
          </dgm:if>
          <dgm:else name="Name7">
            <dgm:constrLst>
              <dgm:constr type="l" for="ch" forName="bgChev" refType="w" fact="0.1"/>
              <dgm:constr type="w" for="ch" forName="bgChev" refType="w" fact="0.9"/>
              <dgm:constr type="t" for="ch" forName="bgChev"/>
              <dgm:constr type="h" for="ch" forName="bgChev" refType="w" refFor="ch" refForName="bgChev" fact="0.386"/>
              <dgm:constr type="l" for="ch" forName="txNode"/>
              <dgm:constr type="w" for="ch" forName="txNode" refType="w" fact="0.76"/>
              <dgm:constr type="t" for="ch" forName="txNode" refType="h" refFor="ch" refForName="bgChev" fact="0.25"/>
              <dgm:constr type="h" for="ch" forName="txNode" refType="h" refFor="ch" refForName="bgChev"/>
            </dgm:constrLst>
          </dgm:else>
        </dgm:choose>
        <dgm:ruleLst/>
        <dgm:layoutNode name="bgChev" styleLbl="node1">
          <dgm:alg type="sp"/>
          <dgm:choose name="Name8">
            <dgm:if name="Name9" func="var" arg="dir" op="equ" val="norm">
              <dgm:shape xmlns:r="http://schemas.openxmlformats.org/officeDocument/2006/relationships" type="chevron" r:blip="">
                <dgm:adjLst>
                  <dgm:adj idx="1" val="0.4"/>
                </dgm:adjLst>
              </dgm:shape>
            </dgm:if>
            <dgm:else name="Name10">
              <dgm:shape xmlns:r="http://schemas.openxmlformats.org/officeDocument/2006/relationships" rot="180" type="chevron" r:blip="">
                <dgm:adjLst>
                  <dgm:adj idx="1" val="0.4"/>
                </dgm:adjLst>
              </dgm:shape>
            </dgm:else>
          </dgm:choose>
          <dgm:presOf/>
          <dgm:constrLst/>
        </dgm:layoutNode>
        <dgm:layoutNode name="txNode" styleLbl="fgAcc1">
          <dgm:varLst>
            <dgm:bulletEnabled val="1"/>
          </dgm:varLst>
          <dgm:alg type="tx"/>
          <dgm:shape xmlns:r="http://schemas.openxmlformats.org/officeDocument/2006/relationships" type="roundRect" r:blip="">
            <dgm:adjLst>
              <dgm:adj idx="1" val="0.1"/>
            </dgm:adjLst>
          </dgm:shape>
          <dgm:presOf axis="desOrSelf" ptType="node"/>
          <dgm:ruleLst>
            <dgm:rule type="primFontSz" val="5" fact="NaN" max="NaN"/>
          </dgm:ruleLst>
        </dgm:layoutNode>
      </dgm:layoutNode>
      <dgm:forEach name="Name11" axis="followSib" ptType="sibTrans" cnt="1">
        <dgm:layoutNode name="compositeSpace">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3.jpg"/><Relationship Id="rId3" Type="http://schemas.openxmlformats.org/officeDocument/2006/relationships/diagramLayout" Target="../diagrams/layout1.xml"/><Relationship Id="rId7" Type="http://schemas.openxmlformats.org/officeDocument/2006/relationships/image" Target="../media/image2.jpeg"/><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4.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144462</xdr:colOff>
      <xdr:row>3</xdr:row>
      <xdr:rowOff>806</xdr:rowOff>
    </xdr:from>
    <xdr:to>
      <xdr:col>5</xdr:col>
      <xdr:colOff>444500</xdr:colOff>
      <xdr:row>5</xdr:row>
      <xdr:rowOff>67733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65362" y="591356"/>
          <a:ext cx="941388" cy="486027"/>
        </a:xfrm>
        <a:prstGeom prst="rect">
          <a:avLst/>
        </a:prstGeom>
      </xdr:spPr>
    </xdr:pic>
    <xdr:clientData/>
  </xdr:twoCellAnchor>
  <xdr:twoCellAnchor>
    <xdr:from>
      <xdr:col>0</xdr:col>
      <xdr:colOff>160862</xdr:colOff>
      <xdr:row>8</xdr:row>
      <xdr:rowOff>1295399</xdr:rowOff>
    </xdr:from>
    <xdr:to>
      <xdr:col>25</xdr:col>
      <xdr:colOff>636587</xdr:colOff>
      <xdr:row>18</xdr:row>
      <xdr:rowOff>142875</xdr:rowOff>
    </xdr:to>
    <xdr:graphicFrame macro="">
      <xdr:nvGraphicFramePr>
        <xdr:cNvPr id="5" name="Diagram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2</xdr:col>
      <xdr:colOff>370016</xdr:colOff>
      <xdr:row>1</xdr:row>
      <xdr:rowOff>186931</xdr:rowOff>
    </xdr:from>
    <xdr:to>
      <xdr:col>4</xdr:col>
      <xdr:colOff>20508</xdr:colOff>
      <xdr:row>5</xdr:row>
      <xdr:rowOff>196850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bwMode="auto">
        <a:xfrm>
          <a:off x="1211391" y="393306"/>
          <a:ext cx="936367" cy="838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484187</xdr:colOff>
      <xdr:row>1</xdr:row>
      <xdr:rowOff>190500</xdr:rowOff>
    </xdr:from>
    <xdr:to>
      <xdr:col>6</xdr:col>
      <xdr:colOff>571500</xdr:colOff>
      <xdr:row>6</xdr:row>
      <xdr:rowOff>1732</xdr:rowOff>
    </xdr:to>
    <xdr:pic>
      <xdr:nvPicPr>
        <xdr:cNvPr id="3" name="Picture 2">
          <a:extLst>
            <a:ext uri="{FF2B5EF4-FFF2-40B4-BE49-F238E27FC236}">
              <a16:creationId xmlns:a16="http://schemas.microsoft.com/office/drawing/2014/main" id="{04FAF9D9-6C2B-16C5-2460-676F1B4AE14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254375" y="396875"/>
          <a:ext cx="730250" cy="843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2330320</xdr:colOff>
      <xdr:row>0</xdr:row>
      <xdr:rowOff>462483</xdr:rowOff>
    </xdr:from>
    <xdr:to>
      <xdr:col>2</xdr:col>
      <xdr:colOff>3276471</xdr:colOff>
      <xdr:row>0</xdr:row>
      <xdr:rowOff>938985</xdr:rowOff>
    </xdr:to>
    <xdr:pic>
      <xdr:nvPicPr>
        <xdr:cNvPr id="2" name="Picture 1">
          <a:extLst>
            <a:ext uri="{FF2B5EF4-FFF2-40B4-BE49-F238E27FC236}">
              <a16:creationId xmlns:a16="http://schemas.microsoft.com/office/drawing/2014/main" id="{40ABE2D3-B8A5-4179-8F14-7E28532F69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30320" y="462483"/>
          <a:ext cx="946151" cy="476502"/>
        </a:xfrm>
        <a:prstGeom prst="rect">
          <a:avLst/>
        </a:prstGeom>
      </xdr:spPr>
    </xdr:pic>
    <xdr:clientData/>
  </xdr:twoCellAnchor>
  <xdr:twoCellAnchor editAs="oneCell">
    <xdr:from>
      <xdr:col>2</xdr:col>
      <xdr:colOff>1269999</xdr:colOff>
      <xdr:row>0</xdr:row>
      <xdr:rowOff>235858</xdr:rowOff>
    </xdr:from>
    <xdr:to>
      <xdr:col>2</xdr:col>
      <xdr:colOff>2206366</xdr:colOff>
      <xdr:row>0</xdr:row>
      <xdr:rowOff>1074452</xdr:rowOff>
    </xdr:to>
    <xdr:pic>
      <xdr:nvPicPr>
        <xdr:cNvPr id="4" name="Picture 3">
          <a:extLst>
            <a:ext uri="{FF2B5EF4-FFF2-40B4-BE49-F238E27FC236}">
              <a16:creationId xmlns:a16="http://schemas.microsoft.com/office/drawing/2014/main" id="{D7F6CF51-BA11-4591-BF16-31A869C4FFB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269999" y="235858"/>
          <a:ext cx="936367" cy="838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3312983</xdr:colOff>
      <xdr:row>0</xdr:row>
      <xdr:rowOff>239427</xdr:rowOff>
    </xdr:from>
    <xdr:to>
      <xdr:col>2</xdr:col>
      <xdr:colOff>4043233</xdr:colOff>
      <xdr:row>0</xdr:row>
      <xdr:rowOff>1082534</xdr:rowOff>
    </xdr:to>
    <xdr:pic>
      <xdr:nvPicPr>
        <xdr:cNvPr id="6" name="Picture 5">
          <a:extLst>
            <a:ext uri="{FF2B5EF4-FFF2-40B4-BE49-F238E27FC236}">
              <a16:creationId xmlns:a16="http://schemas.microsoft.com/office/drawing/2014/main" id="{1A02BA21-6029-4D48-8A1C-5CB228F6369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12983" y="239427"/>
          <a:ext cx="730250" cy="8431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1932389</xdr:colOff>
      <xdr:row>0</xdr:row>
      <xdr:rowOff>412892</xdr:rowOff>
    </xdr:from>
    <xdr:to>
      <xdr:col>3</xdr:col>
      <xdr:colOff>259165</xdr:colOff>
      <xdr:row>0</xdr:row>
      <xdr:rowOff>886219</xdr:rowOff>
    </xdr:to>
    <xdr:pic>
      <xdr:nvPicPr>
        <xdr:cNvPr id="3" name="Picture 2">
          <a:extLst>
            <a:ext uri="{FF2B5EF4-FFF2-40B4-BE49-F238E27FC236}">
              <a16:creationId xmlns:a16="http://schemas.microsoft.com/office/drawing/2014/main" id="{34920587-A430-4DCD-9BB7-8B717D9277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21856" y="412892"/>
          <a:ext cx="946151" cy="476502"/>
        </a:xfrm>
        <a:prstGeom prst="rect">
          <a:avLst/>
        </a:prstGeom>
      </xdr:spPr>
    </xdr:pic>
    <xdr:clientData/>
  </xdr:twoCellAnchor>
  <xdr:twoCellAnchor editAs="oneCell">
    <xdr:from>
      <xdr:col>2</xdr:col>
      <xdr:colOff>872068</xdr:colOff>
      <xdr:row>0</xdr:row>
      <xdr:rowOff>186267</xdr:rowOff>
    </xdr:from>
    <xdr:to>
      <xdr:col>2</xdr:col>
      <xdr:colOff>1808435</xdr:colOff>
      <xdr:row>0</xdr:row>
      <xdr:rowOff>1021686</xdr:rowOff>
    </xdr:to>
    <xdr:pic>
      <xdr:nvPicPr>
        <xdr:cNvPr id="5" name="Picture 4">
          <a:extLst>
            <a:ext uri="{FF2B5EF4-FFF2-40B4-BE49-F238E27FC236}">
              <a16:creationId xmlns:a16="http://schemas.microsoft.com/office/drawing/2014/main" id="{CE27AA20-ADBE-4FA4-89D7-90594150DA9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261535" y="186267"/>
          <a:ext cx="936367" cy="838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298852</xdr:colOff>
      <xdr:row>0</xdr:row>
      <xdr:rowOff>189836</xdr:rowOff>
    </xdr:from>
    <xdr:to>
      <xdr:col>4</xdr:col>
      <xdr:colOff>21569</xdr:colOff>
      <xdr:row>0</xdr:row>
      <xdr:rowOff>1036118</xdr:rowOff>
    </xdr:to>
    <xdr:pic>
      <xdr:nvPicPr>
        <xdr:cNvPr id="6" name="Picture 5">
          <a:extLst>
            <a:ext uri="{FF2B5EF4-FFF2-40B4-BE49-F238E27FC236}">
              <a16:creationId xmlns:a16="http://schemas.microsoft.com/office/drawing/2014/main" id="{E33CFA90-E62E-4DD6-B2C3-037FF5AE6C3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04519" y="189836"/>
          <a:ext cx="730250" cy="8431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1966254</xdr:colOff>
      <xdr:row>0</xdr:row>
      <xdr:rowOff>362091</xdr:rowOff>
    </xdr:from>
    <xdr:to>
      <xdr:col>3</xdr:col>
      <xdr:colOff>121580</xdr:colOff>
      <xdr:row>0</xdr:row>
      <xdr:rowOff>838593</xdr:rowOff>
    </xdr:to>
    <xdr:pic>
      <xdr:nvPicPr>
        <xdr:cNvPr id="2" name="Picture 1">
          <a:extLst>
            <a:ext uri="{FF2B5EF4-FFF2-40B4-BE49-F238E27FC236}">
              <a16:creationId xmlns:a16="http://schemas.microsoft.com/office/drawing/2014/main" id="{6A37447D-BF4A-41D2-9A27-9885119928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4721" y="362091"/>
          <a:ext cx="946151" cy="476502"/>
        </a:xfrm>
        <a:prstGeom prst="rect">
          <a:avLst/>
        </a:prstGeom>
      </xdr:spPr>
    </xdr:pic>
    <xdr:clientData/>
  </xdr:twoCellAnchor>
  <xdr:twoCellAnchor editAs="oneCell">
    <xdr:from>
      <xdr:col>2</xdr:col>
      <xdr:colOff>905933</xdr:colOff>
      <xdr:row>0</xdr:row>
      <xdr:rowOff>135466</xdr:rowOff>
    </xdr:from>
    <xdr:to>
      <xdr:col>2</xdr:col>
      <xdr:colOff>1839125</xdr:colOff>
      <xdr:row>0</xdr:row>
      <xdr:rowOff>974060</xdr:rowOff>
    </xdr:to>
    <xdr:pic>
      <xdr:nvPicPr>
        <xdr:cNvPr id="3" name="Picture 2">
          <a:extLst>
            <a:ext uri="{FF2B5EF4-FFF2-40B4-BE49-F238E27FC236}">
              <a16:creationId xmlns:a16="http://schemas.microsoft.com/office/drawing/2014/main" id="{20D2D901-7CAD-4A52-B4B1-3B1710C338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914400" y="135466"/>
          <a:ext cx="936367" cy="838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154917</xdr:colOff>
      <xdr:row>0</xdr:row>
      <xdr:rowOff>139035</xdr:rowOff>
    </xdr:from>
    <xdr:to>
      <xdr:col>3</xdr:col>
      <xdr:colOff>888342</xdr:colOff>
      <xdr:row>0</xdr:row>
      <xdr:rowOff>978967</xdr:rowOff>
    </xdr:to>
    <xdr:pic>
      <xdr:nvPicPr>
        <xdr:cNvPr id="5" name="Picture 4">
          <a:extLst>
            <a:ext uri="{FF2B5EF4-FFF2-40B4-BE49-F238E27FC236}">
              <a16:creationId xmlns:a16="http://schemas.microsoft.com/office/drawing/2014/main" id="{90C93896-B93B-43C0-B505-DEC978D5D7C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57384" y="139035"/>
          <a:ext cx="730250" cy="8431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1985960</xdr:colOff>
      <xdr:row>0</xdr:row>
      <xdr:rowOff>269321</xdr:rowOff>
    </xdr:from>
    <xdr:to>
      <xdr:col>3</xdr:col>
      <xdr:colOff>203903</xdr:colOff>
      <xdr:row>0</xdr:row>
      <xdr:rowOff>755348</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071" y="269321"/>
          <a:ext cx="941388" cy="486027"/>
        </a:xfrm>
        <a:prstGeom prst="rect">
          <a:avLst/>
        </a:prstGeom>
      </xdr:spPr>
    </xdr:pic>
    <xdr:clientData/>
  </xdr:twoCellAnchor>
  <xdr:twoCellAnchor editAs="oneCell">
    <xdr:from>
      <xdr:col>2</xdr:col>
      <xdr:colOff>920748</xdr:colOff>
      <xdr:row>0</xdr:row>
      <xdr:rowOff>161531</xdr:rowOff>
    </xdr:from>
    <xdr:to>
      <xdr:col>2</xdr:col>
      <xdr:colOff>1866898</xdr:colOff>
      <xdr:row>0</xdr:row>
      <xdr:rowOff>1016000</xdr:rowOff>
    </xdr:to>
    <xdr:pic>
      <xdr:nvPicPr>
        <xdr:cNvPr id="6" name="Picture 5" descr="https://nimrc.org/wp-content/uploads/2020/08/cropped-nimric-logo.pn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5859" y="161531"/>
          <a:ext cx="946150" cy="854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1974721</xdr:colOff>
      <xdr:row>0</xdr:row>
      <xdr:rowOff>353625</xdr:rowOff>
    </xdr:from>
    <xdr:to>
      <xdr:col>3</xdr:col>
      <xdr:colOff>287739</xdr:colOff>
      <xdr:row>0</xdr:row>
      <xdr:rowOff>826952</xdr:rowOff>
    </xdr:to>
    <xdr:pic>
      <xdr:nvPicPr>
        <xdr:cNvPr id="2" name="Picture 1">
          <a:extLst>
            <a:ext uri="{FF2B5EF4-FFF2-40B4-BE49-F238E27FC236}">
              <a16:creationId xmlns:a16="http://schemas.microsoft.com/office/drawing/2014/main" id="{C216F816-5C30-4249-B229-10FEB5A72E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3188" y="353625"/>
          <a:ext cx="946151" cy="476502"/>
        </a:xfrm>
        <a:prstGeom prst="rect">
          <a:avLst/>
        </a:prstGeom>
      </xdr:spPr>
    </xdr:pic>
    <xdr:clientData/>
  </xdr:twoCellAnchor>
  <xdr:twoCellAnchor editAs="oneCell">
    <xdr:from>
      <xdr:col>2</xdr:col>
      <xdr:colOff>914400</xdr:colOff>
      <xdr:row>0</xdr:row>
      <xdr:rowOff>127000</xdr:rowOff>
    </xdr:from>
    <xdr:to>
      <xdr:col>2</xdr:col>
      <xdr:colOff>1850767</xdr:colOff>
      <xdr:row>0</xdr:row>
      <xdr:rowOff>962419</xdr:rowOff>
    </xdr:to>
    <xdr:pic>
      <xdr:nvPicPr>
        <xdr:cNvPr id="4" name="Picture 3">
          <a:extLst>
            <a:ext uri="{FF2B5EF4-FFF2-40B4-BE49-F238E27FC236}">
              <a16:creationId xmlns:a16="http://schemas.microsoft.com/office/drawing/2014/main" id="{00DDEDA8-BDC2-4BAD-8707-D863EC1813F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922867" y="127000"/>
          <a:ext cx="936367" cy="838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324251</xdr:colOff>
      <xdr:row>0</xdr:row>
      <xdr:rowOff>130569</xdr:rowOff>
    </xdr:from>
    <xdr:to>
      <xdr:col>3</xdr:col>
      <xdr:colOff>1057676</xdr:colOff>
      <xdr:row>0</xdr:row>
      <xdr:rowOff>973676</xdr:rowOff>
    </xdr:to>
    <xdr:pic>
      <xdr:nvPicPr>
        <xdr:cNvPr id="5" name="Picture 4">
          <a:extLst>
            <a:ext uri="{FF2B5EF4-FFF2-40B4-BE49-F238E27FC236}">
              <a16:creationId xmlns:a16="http://schemas.microsoft.com/office/drawing/2014/main" id="{2B7752F4-A04E-431F-A79B-A9BD87E32A0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65851" y="130569"/>
          <a:ext cx="730250" cy="8431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1898522</xdr:colOff>
      <xdr:row>0</xdr:row>
      <xdr:rowOff>353626</xdr:rowOff>
    </xdr:from>
    <xdr:to>
      <xdr:col>3</xdr:col>
      <xdr:colOff>211539</xdr:colOff>
      <xdr:row>0</xdr:row>
      <xdr:rowOff>826953</xdr:rowOff>
    </xdr:to>
    <xdr:pic>
      <xdr:nvPicPr>
        <xdr:cNvPr id="2" name="Picture 1">
          <a:extLst>
            <a:ext uri="{FF2B5EF4-FFF2-40B4-BE49-F238E27FC236}">
              <a16:creationId xmlns:a16="http://schemas.microsoft.com/office/drawing/2014/main" id="{52973E82-04F9-4993-B7E3-FF8A760FC9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3255" y="353626"/>
          <a:ext cx="946151" cy="476502"/>
        </a:xfrm>
        <a:prstGeom prst="rect">
          <a:avLst/>
        </a:prstGeom>
      </xdr:spPr>
    </xdr:pic>
    <xdr:clientData/>
  </xdr:twoCellAnchor>
  <xdr:twoCellAnchor editAs="oneCell">
    <xdr:from>
      <xdr:col>2</xdr:col>
      <xdr:colOff>838201</xdr:colOff>
      <xdr:row>0</xdr:row>
      <xdr:rowOff>127001</xdr:rowOff>
    </xdr:from>
    <xdr:to>
      <xdr:col>2</xdr:col>
      <xdr:colOff>1774568</xdr:colOff>
      <xdr:row>0</xdr:row>
      <xdr:rowOff>962420</xdr:rowOff>
    </xdr:to>
    <xdr:pic>
      <xdr:nvPicPr>
        <xdr:cNvPr id="3" name="Picture 2">
          <a:extLst>
            <a:ext uri="{FF2B5EF4-FFF2-40B4-BE49-F238E27FC236}">
              <a16:creationId xmlns:a16="http://schemas.microsoft.com/office/drawing/2014/main" id="{89A6E7CB-636D-4D5C-9025-E3DF0CFE6E6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32934" y="127001"/>
          <a:ext cx="936367" cy="838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248051</xdr:colOff>
      <xdr:row>0</xdr:row>
      <xdr:rowOff>130570</xdr:rowOff>
    </xdr:from>
    <xdr:to>
      <xdr:col>3</xdr:col>
      <xdr:colOff>981476</xdr:colOff>
      <xdr:row>0</xdr:row>
      <xdr:rowOff>973677</xdr:rowOff>
    </xdr:to>
    <xdr:pic>
      <xdr:nvPicPr>
        <xdr:cNvPr id="4" name="Picture 3">
          <a:extLst>
            <a:ext uri="{FF2B5EF4-FFF2-40B4-BE49-F238E27FC236}">
              <a16:creationId xmlns:a16="http://schemas.microsoft.com/office/drawing/2014/main" id="{EBE3CDC5-B047-46D6-ADE2-43DEBE87904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075918" y="130570"/>
          <a:ext cx="730250" cy="8431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sh.org/resources/supportive-housing-services-budgeting-tool/" TargetMode="External"/><Relationship Id="rId1" Type="http://schemas.openxmlformats.org/officeDocument/2006/relationships/hyperlink" Target="about:blan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nimrc.org/wp-content/uploads/2023/05/Potential-Skills-and-Staffing-Models-of-Medical-Respite-Care.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nimrc.org/wp-content/uploads/2023/05/Potential-Skills-and-Staffing-Models-of-Medical-Respite-Care.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nimrc.org/wp-content/uploads/2023/05/Potential-Skills-and-Staffing-Models-of-Medical-Respite-Care.pdf" TargetMode="External"/><Relationship Id="rId1" Type="http://schemas.openxmlformats.org/officeDocument/2006/relationships/hyperlink" Target="about:blank"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nimrc.org/wp-content/uploads/2023/05/Potential-Skills-and-Staffing-Models-of-Medical-Respite-Care.pdf" TargetMode="External"/><Relationship Id="rId1" Type="http://schemas.openxmlformats.org/officeDocument/2006/relationships/hyperlink" Target="https://cshcloud.egnyte.com/fl/SJiq5sBbiw" TargetMode="Externa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Z32"/>
  <sheetViews>
    <sheetView showGridLines="0" topLeftCell="A9" zoomScale="80" zoomScaleNormal="80" workbookViewId="0">
      <selection activeCell="B19" sqref="B19:Z19"/>
    </sheetView>
  </sheetViews>
  <sheetFormatPr defaultColWidth="9.1796875" defaultRowHeight="16.5" customHeight="1"/>
  <cols>
    <col min="1" max="1" width="8.984375E-2" style="82" customWidth="1"/>
    <col min="2" max="23" width="9.1796875" style="82"/>
    <col min="24" max="24" width="9.1796875" style="82" customWidth="1"/>
    <col min="25" max="28" width="9.1796875" style="82"/>
    <col min="29" max="29" width="12" style="82" customWidth="1"/>
    <col min="30" max="16384" width="9.1796875" style="82"/>
  </cols>
  <sheetData>
    <row r="1" spans="1:26" s="81" customFormat="1" ht="16.5" customHeight="1">
      <c r="A1" s="79"/>
      <c r="B1" s="80"/>
      <c r="C1" s="80"/>
    </row>
    <row r="6" spans="1:26" ht="16.5" customHeight="1">
      <c r="D6"/>
    </row>
    <row r="8" spans="1:26" ht="16.5" customHeight="1">
      <c r="B8" s="87" t="s">
        <v>344</v>
      </c>
    </row>
    <row r="9" spans="1:26" ht="102" customHeight="1">
      <c r="B9" s="315" t="s">
        <v>367</v>
      </c>
      <c r="C9" s="315"/>
      <c r="D9" s="315"/>
      <c r="E9" s="315"/>
      <c r="F9" s="315"/>
      <c r="G9" s="315"/>
      <c r="H9" s="315"/>
      <c r="I9" s="315"/>
      <c r="J9" s="315"/>
      <c r="K9" s="315"/>
      <c r="L9" s="315"/>
      <c r="M9" s="315"/>
      <c r="N9" s="315"/>
      <c r="O9" s="315"/>
      <c r="P9" s="315"/>
      <c r="Q9" s="315"/>
      <c r="R9" s="315"/>
      <c r="S9" s="315"/>
      <c r="T9" s="315"/>
      <c r="U9" s="315"/>
      <c r="V9" s="315"/>
      <c r="W9" s="315"/>
      <c r="X9" s="315"/>
      <c r="Y9" s="315"/>
      <c r="Z9" s="315"/>
    </row>
    <row r="10" spans="1:26" ht="16.5" customHeight="1">
      <c r="B10" s="190" t="s">
        <v>0</v>
      </c>
      <c r="E10" s="307" t="s">
        <v>365</v>
      </c>
      <c r="G10" s="191"/>
    </row>
    <row r="12" spans="1:26" ht="16.5" customHeight="1">
      <c r="B12" s="192"/>
    </row>
    <row r="13" spans="1:26" ht="16.5" customHeight="1">
      <c r="B13" s="192"/>
    </row>
    <row r="14" spans="1:26" ht="16.5" customHeight="1">
      <c r="A14" s="82" t="s">
        <v>87</v>
      </c>
      <c r="B14" s="192"/>
    </row>
    <row r="18" spans="2:26" ht="16.5" customHeight="1">
      <c r="B18" s="192" t="s">
        <v>156</v>
      </c>
    </row>
    <row r="19" spans="2:26" ht="43" customHeight="1">
      <c r="B19" s="316" t="s">
        <v>157</v>
      </c>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row>
    <row r="20" spans="2:26" ht="36.5" customHeight="1">
      <c r="B20" s="317" t="s">
        <v>345</v>
      </c>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row>
    <row r="21" spans="2:26" ht="16.5" customHeight="1">
      <c r="B21" s="316" t="s">
        <v>1</v>
      </c>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row>
    <row r="23" spans="2:26" ht="16.5" customHeight="1">
      <c r="B23" s="222" t="s">
        <v>2</v>
      </c>
      <c r="C23" s="223"/>
      <c r="D23" s="223"/>
      <c r="E23" s="223"/>
      <c r="F23" s="223"/>
      <c r="G23" s="223"/>
      <c r="H23" s="223"/>
      <c r="I23" s="223"/>
      <c r="J23" s="223"/>
      <c r="K23" s="223"/>
      <c r="L23" s="223"/>
      <c r="M23" s="223"/>
      <c r="N23" s="223"/>
      <c r="O23" s="223"/>
    </row>
    <row r="24" spans="2:26" ht="19.5" customHeight="1">
      <c r="B24" s="225" t="s">
        <v>3</v>
      </c>
      <c r="C24" s="225"/>
      <c r="D24" s="225"/>
      <c r="E24" s="225"/>
      <c r="F24" s="225"/>
      <c r="G24" s="225"/>
      <c r="H24" s="225"/>
      <c r="I24" s="225"/>
      <c r="J24" s="225"/>
      <c r="K24" s="225"/>
      <c r="L24" s="225"/>
      <c r="M24" s="225"/>
      <c r="N24" s="225"/>
      <c r="O24" s="225"/>
      <c r="P24" s="225"/>
      <c r="Q24" s="225"/>
      <c r="R24" s="225"/>
      <c r="S24" s="225"/>
      <c r="T24" s="225"/>
      <c r="U24" s="225"/>
      <c r="V24" s="304"/>
    </row>
    <row r="25" spans="2:26" ht="20.5" customHeight="1">
      <c r="B25" s="224" t="s">
        <v>4</v>
      </c>
      <c r="C25" s="224"/>
      <c r="D25" s="224"/>
      <c r="E25" s="224"/>
      <c r="F25" s="224"/>
      <c r="G25" s="224"/>
      <c r="H25" s="224"/>
      <c r="I25" s="224"/>
      <c r="J25" s="224"/>
      <c r="K25" s="224"/>
      <c r="L25" s="224"/>
      <c r="M25" s="224"/>
      <c r="N25" s="224"/>
      <c r="O25" s="224"/>
      <c r="P25" s="303"/>
    </row>
    <row r="26" spans="2:26" ht="48.5" customHeight="1">
      <c r="B26" s="320" t="s">
        <v>141</v>
      </c>
      <c r="C26" s="321"/>
      <c r="D26" s="321"/>
      <c r="E26" s="321"/>
      <c r="F26" s="321"/>
      <c r="G26" s="321"/>
      <c r="H26" s="321"/>
      <c r="I26" s="321"/>
      <c r="J26" s="321"/>
      <c r="K26" s="321"/>
      <c r="L26" s="321"/>
      <c r="M26" s="321"/>
      <c r="N26" s="321"/>
      <c r="O26" s="321"/>
      <c r="P26" s="321"/>
      <c r="Q26" s="321"/>
      <c r="R26" s="321"/>
      <c r="S26" s="321"/>
      <c r="T26" s="321"/>
      <c r="U26" s="321"/>
      <c r="V26" s="321"/>
      <c r="W26" s="321"/>
      <c r="X26" s="322"/>
    </row>
    <row r="27" spans="2:26" ht="35.5" customHeight="1">
      <c r="B27" s="319" t="s">
        <v>368</v>
      </c>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row>
    <row r="28" spans="2:26" ht="16.5" customHeight="1">
      <c r="B28" s="314" t="s">
        <v>147</v>
      </c>
      <c r="C28" s="314"/>
      <c r="D28" s="314"/>
      <c r="E28" s="193"/>
      <c r="F28" s="193"/>
      <c r="G28" s="193"/>
      <c r="H28" s="193"/>
      <c r="I28" s="193"/>
      <c r="J28" s="193"/>
      <c r="K28" s="193"/>
      <c r="L28" s="193"/>
      <c r="M28" s="193"/>
      <c r="N28" s="193"/>
      <c r="O28" s="193"/>
      <c r="P28" s="193"/>
      <c r="Q28" s="193"/>
      <c r="R28" s="193"/>
      <c r="S28" s="193"/>
      <c r="T28" s="193"/>
      <c r="U28" s="193"/>
      <c r="V28" s="193"/>
      <c r="W28" s="193"/>
      <c r="X28" s="193"/>
      <c r="Y28" s="193"/>
      <c r="Z28" s="193"/>
    </row>
    <row r="29" spans="2:26" s="207" customFormat="1" ht="28.5" customHeight="1">
      <c r="B29" s="313" t="s">
        <v>204</v>
      </c>
      <c r="C29" s="313"/>
      <c r="D29" s="313"/>
      <c r="E29" s="313"/>
      <c r="F29" s="313"/>
      <c r="G29" s="313"/>
      <c r="H29" s="313"/>
      <c r="I29" s="313"/>
      <c r="J29" s="313"/>
      <c r="K29" s="313"/>
      <c r="L29" s="313"/>
      <c r="M29" s="313"/>
      <c r="N29" s="313"/>
      <c r="O29" s="313"/>
      <c r="P29" s="313"/>
      <c r="Q29" s="313"/>
    </row>
    <row r="30" spans="2:26" s="207" customFormat="1" ht="28.5" customHeight="1">
      <c r="B30" s="305" t="s">
        <v>357</v>
      </c>
      <c r="C30" s="294"/>
      <c r="D30" s="294"/>
      <c r="E30" s="294"/>
      <c r="F30" s="294"/>
      <c r="G30" s="294"/>
      <c r="H30" s="294"/>
      <c r="I30" s="294"/>
      <c r="J30" s="294"/>
      <c r="K30" s="294"/>
      <c r="L30" s="294"/>
      <c r="M30" s="294"/>
      <c r="N30" s="294"/>
      <c r="O30" s="294"/>
      <c r="P30" s="294"/>
      <c r="Q30" s="294"/>
    </row>
    <row r="31" spans="2:26" ht="45" customHeight="1">
      <c r="B31" s="313" t="s">
        <v>376</v>
      </c>
      <c r="C31" s="313"/>
      <c r="D31" s="313"/>
      <c r="E31" s="313"/>
      <c r="F31" s="313"/>
      <c r="G31" s="313"/>
      <c r="H31" s="313"/>
      <c r="I31" s="313"/>
      <c r="J31" s="313"/>
      <c r="K31" s="313"/>
      <c r="L31" s="313"/>
      <c r="M31" s="313"/>
      <c r="N31" s="313"/>
      <c r="O31" s="313"/>
      <c r="P31" s="313"/>
      <c r="Q31" s="313"/>
      <c r="R31" s="313"/>
      <c r="S31" s="313"/>
    </row>
    <row r="32" spans="2:26" ht="16.5" customHeight="1">
      <c r="B32" s="308" t="s">
        <v>375</v>
      </c>
      <c r="D32" s="308" t="s">
        <v>366</v>
      </c>
    </row>
  </sheetData>
  <mergeCells count="9">
    <mergeCell ref="B31:S31"/>
    <mergeCell ref="B28:D28"/>
    <mergeCell ref="B9:Z9"/>
    <mergeCell ref="B19:Z19"/>
    <mergeCell ref="B20:Z20"/>
    <mergeCell ref="B21:Z21"/>
    <mergeCell ref="B27:Z27"/>
    <mergeCell ref="B26:X26"/>
    <mergeCell ref="B29:Q29"/>
  </mergeCells>
  <hyperlinks>
    <hyperlink ref="B29:M29" r:id="rId1" display="Please direct all questions and concerns about the staffing model structures and best practice recommendations to the National Institute for Medical Respite Care " xr:uid="{00000000-0004-0000-0000-000000000000}"/>
    <hyperlink ref="B31:S31" r:id="rId2" display="This medical respite budget tool has been adapted, by NIMRC and CSH staff,  using other staffing and service budget tools created by CSH for organizations serving people experiencing and exiting homelessness. For other service budget tools for Permanent Supportive Housing, visit: https://www.csh.org/resources/supportive-housing-services-budgeting-tool/" xr:uid="{7C7D0977-472B-484D-B0DE-746385C1785D}"/>
  </hyperlinks>
  <pageMargins left="0.7" right="0.7" top="0.75" bottom="0.75" header="0.3" footer="0.3"/>
  <pageSetup scale="52" fitToHeight="0" orientation="landscape" horizontalDpi="300" verticalDpi="300" r:id="rId3"/>
  <headerFooter>
    <oddHeader>&amp;CDRAFT</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M21"/>
  <sheetViews>
    <sheetView showGridLines="0" topLeftCell="C1" zoomScale="70" zoomScaleNormal="70" workbookViewId="0">
      <selection activeCell="L5" sqref="L5"/>
    </sheetView>
  </sheetViews>
  <sheetFormatPr defaultColWidth="9.1796875" defaultRowHeight="15.5"/>
  <cols>
    <col min="1" max="2" width="2.81640625" style="82" hidden="1" customWidth="1"/>
    <col min="3" max="3" width="84.36328125" style="82" customWidth="1"/>
    <col min="4" max="4" width="25.36328125" style="82" customWidth="1"/>
    <col min="5" max="5" width="22" style="82" customWidth="1"/>
    <col min="6" max="6" width="22" style="86" customWidth="1"/>
    <col min="7" max="7" width="23.453125" style="82" customWidth="1"/>
    <col min="8" max="10" width="9.1796875" style="82" customWidth="1"/>
    <col min="11" max="16384" width="9.1796875" style="82"/>
  </cols>
  <sheetData>
    <row r="1" spans="1:13" s="217" customFormat="1" ht="103" customHeight="1">
      <c r="B1" s="218"/>
      <c r="C1" s="219"/>
      <c r="D1" s="246"/>
      <c r="E1" s="246"/>
      <c r="F1" s="246"/>
      <c r="G1" s="246"/>
      <c r="H1" s="246"/>
    </row>
    <row r="2" spans="1:13" s="81" customFormat="1">
      <c r="B2" s="79"/>
      <c r="C2" s="80"/>
      <c r="D2" s="80"/>
    </row>
    <row r="3" spans="1:13" ht="48" customHeight="1">
      <c r="C3" s="216" t="s">
        <v>5</v>
      </c>
      <c r="D3" s="119"/>
      <c r="E3" s="119"/>
      <c r="F3" s="120"/>
      <c r="G3" s="121"/>
      <c r="H3" s="121"/>
      <c r="I3" s="316" t="s">
        <v>331</v>
      </c>
      <c r="J3" s="316"/>
      <c r="K3" s="316"/>
      <c r="L3" s="316"/>
      <c r="M3" s="316"/>
    </row>
    <row r="4" spans="1:13" ht="73" customHeight="1">
      <c r="C4" s="328" t="s">
        <v>369</v>
      </c>
      <c r="D4" s="328"/>
      <c r="E4" s="328"/>
      <c r="F4" s="328"/>
      <c r="G4" s="121"/>
      <c r="H4" s="121"/>
      <c r="I4" s="316"/>
      <c r="J4" s="316"/>
      <c r="K4" s="316"/>
      <c r="L4" s="316"/>
      <c r="M4" s="316"/>
    </row>
    <row r="5" spans="1:13" s="87" customFormat="1" ht="58.5" customHeight="1">
      <c r="C5" s="122" t="s">
        <v>193</v>
      </c>
      <c r="D5" s="247" t="s">
        <v>158</v>
      </c>
      <c r="E5" s="247" t="s">
        <v>159</v>
      </c>
      <c r="F5" s="248" t="s">
        <v>160</v>
      </c>
      <c r="G5" s="248" t="s">
        <v>161</v>
      </c>
      <c r="H5" s="122"/>
      <c r="I5" s="325" t="s">
        <v>328</v>
      </c>
      <c r="J5" s="325"/>
      <c r="K5" s="325"/>
      <c r="L5" s="261" t="s">
        <v>153</v>
      </c>
    </row>
    <row r="6" spans="1:13" ht="23.5">
      <c r="C6" s="123" t="s">
        <v>6</v>
      </c>
      <c r="D6" s="124">
        <f>ROUNDUP(SUM('4. Coordinated Care'!D24:D28),0)</f>
        <v>6</v>
      </c>
      <c r="E6" s="124">
        <f>ROUNDUP(SUM('5. Coordinated Clinical'!D20:D25),0)</f>
        <v>7</v>
      </c>
      <c r="F6" s="124">
        <f>ROUNDUP(SUM('6. Integrated Clinical'!D20:D29),0)</f>
        <v>8</v>
      </c>
      <c r="G6" s="124">
        <f>ROUNDUP(SUM('7. Comprehensive Clinical'!D20:D29),0)</f>
        <v>11</v>
      </c>
      <c r="H6" s="121"/>
      <c r="I6" s="121"/>
      <c r="J6" s="121"/>
      <c r="K6" s="132"/>
    </row>
    <row r="7" spans="1:13" ht="23.5">
      <c r="C7" s="123" t="s">
        <v>323</v>
      </c>
      <c r="D7" s="125">
        <f>'4. Coordinated Care'!J67</f>
        <v>696913.54125000001</v>
      </c>
      <c r="E7" s="125">
        <f>'5. Coordinated Clinical'!I67</f>
        <v>719368.72875000001</v>
      </c>
      <c r="F7" s="125">
        <f>'6. Integrated Clinical'!I71</f>
        <v>1057533.1287500001</v>
      </c>
      <c r="G7" s="125">
        <f>'7. Comprehensive Clinical'!I70</f>
        <v>1255563.1287499999</v>
      </c>
      <c r="H7" s="121"/>
      <c r="I7" s="121"/>
      <c r="J7" s="121"/>
      <c r="K7" s="132"/>
    </row>
    <row r="8" spans="1:13" ht="23.5">
      <c r="C8" s="309" t="s">
        <v>333</v>
      </c>
      <c r="D8" s="267">
        <f>'4. Coordinated Care'!D78</f>
        <v>-690513.54125000001</v>
      </c>
      <c r="E8" s="272">
        <f>'5. Coordinated Clinical'!D78</f>
        <v>-719368.72875000001</v>
      </c>
      <c r="F8" s="272">
        <f>'6. Integrated Clinical'!D82</f>
        <v>-949533.12875000015</v>
      </c>
      <c r="G8" s="272">
        <f>'7. Comprehensive Clinical'!D81</f>
        <v>-1160563.1287499999</v>
      </c>
      <c r="H8" s="121"/>
      <c r="I8" s="121"/>
      <c r="J8" s="121"/>
      <c r="K8" s="132"/>
    </row>
    <row r="9" spans="1:13" ht="23.5">
      <c r="C9" s="126" t="s">
        <v>7</v>
      </c>
      <c r="D9" s="125">
        <f>'4. Coordinated Care'!I67</f>
        <v>66355</v>
      </c>
      <c r="E9" s="125">
        <f>'5. Coordinated Clinical'!H67</f>
        <v>64630</v>
      </c>
      <c r="F9" s="125">
        <f>'6. Integrated Clinical'!H71</f>
        <v>64630</v>
      </c>
      <c r="G9" s="125">
        <f>'6. Integrated Clinical'!H71</f>
        <v>64630</v>
      </c>
      <c r="H9" s="121"/>
      <c r="I9" s="121"/>
      <c r="J9" s="121"/>
      <c r="K9" s="132"/>
    </row>
    <row r="10" spans="1:13" ht="23.5">
      <c r="C10" s="123" t="s">
        <v>234</v>
      </c>
      <c r="D10" s="127">
        <f>'4. Coordinated Care'!D13</f>
        <v>17</v>
      </c>
      <c r="E10" s="127">
        <f>'5. Coordinated Clinical'!D13</f>
        <v>17</v>
      </c>
      <c r="F10" s="127">
        <f>'6. Integrated Clinical'!D13</f>
        <v>17</v>
      </c>
      <c r="G10" s="127">
        <f>'7. Comprehensive Clinical'!D13</f>
        <v>17</v>
      </c>
      <c r="H10" s="121"/>
      <c r="I10" s="121"/>
      <c r="J10" s="121"/>
      <c r="K10" s="132"/>
    </row>
    <row r="11" spans="1:13" ht="35" customHeight="1">
      <c r="A11" s="323" t="s">
        <v>324</v>
      </c>
      <c r="B11" s="324"/>
      <c r="C11" s="128" t="s">
        <v>231</v>
      </c>
      <c r="D11" s="129">
        <f>(D7/D10)/365</f>
        <v>112.31483340048349</v>
      </c>
      <c r="E11" s="129">
        <f>E7/E10/365</f>
        <v>115.93371937953263</v>
      </c>
      <c r="F11" s="129">
        <f>F7/F10/365</f>
        <v>170.43241398066078</v>
      </c>
      <c r="G11" s="129">
        <f>G7/G10/365</f>
        <v>202.34699899274776</v>
      </c>
      <c r="H11" s="121"/>
      <c r="I11" s="121"/>
      <c r="J11" s="121"/>
      <c r="K11" s="132"/>
    </row>
    <row r="12" spans="1:13" ht="23.5">
      <c r="A12" s="323"/>
      <c r="B12" s="324"/>
      <c r="C12" s="128" t="s">
        <v>232</v>
      </c>
      <c r="D12" s="129">
        <f>D7/D10/12</f>
        <v>3416.2428492647064</v>
      </c>
      <c r="E12" s="129">
        <f>E7/E10/12</f>
        <v>3526.3172977941176</v>
      </c>
      <c r="F12" s="129">
        <f>F7/F10/12</f>
        <v>5183.9859252450988</v>
      </c>
      <c r="G12" s="129">
        <f>G7/G10/12</f>
        <v>6154.7212193627447</v>
      </c>
      <c r="H12" s="121"/>
      <c r="I12" s="121"/>
      <c r="J12" s="121"/>
      <c r="K12" s="132"/>
    </row>
    <row r="13" spans="1:13" ht="25" customHeight="1">
      <c r="A13" s="323"/>
      <c r="B13" s="324"/>
      <c r="C13" s="128" t="s">
        <v>233</v>
      </c>
      <c r="D13" s="129">
        <f>D7/D10</f>
        <v>40994.914191176475</v>
      </c>
      <c r="E13" s="129">
        <f>E7/E10</f>
        <v>42315.807573529411</v>
      </c>
      <c r="F13" s="129">
        <f>F7/F10</f>
        <v>62207.831102941185</v>
      </c>
      <c r="G13" s="129">
        <f>G7/G10</f>
        <v>73856.654632352933</v>
      </c>
      <c r="H13" s="121"/>
      <c r="I13" s="121"/>
      <c r="J13" s="121"/>
      <c r="K13" s="132"/>
    </row>
    <row r="14" spans="1:13" ht="23.5">
      <c r="A14" s="326" t="s">
        <v>330</v>
      </c>
      <c r="B14" s="326"/>
      <c r="C14" s="265" t="s">
        <v>329</v>
      </c>
      <c r="D14" s="266">
        <f>(D8/D10)/365</f>
        <v>-111.28340713134568</v>
      </c>
      <c r="E14" s="266">
        <f>(E8/E10)/365</f>
        <v>-115.93371937953263</v>
      </c>
      <c r="F14" s="266">
        <f>(F8/F10)/365</f>
        <v>-153.02709568896054</v>
      </c>
      <c r="G14" s="266">
        <f>(G8/G10)/365</f>
        <v>-187.03676531023365</v>
      </c>
      <c r="H14" s="121"/>
      <c r="I14" s="121"/>
      <c r="J14" s="121"/>
      <c r="K14" s="132"/>
    </row>
    <row r="15" spans="1:13" ht="23.5">
      <c r="A15" s="326"/>
      <c r="B15" s="326"/>
      <c r="C15" s="130" t="s">
        <v>154</v>
      </c>
      <c r="D15" s="268">
        <f>D8/D10/12</f>
        <v>-3384.870300245098</v>
      </c>
      <c r="E15" s="268">
        <f>E8/E10/12</f>
        <v>-3526.3172977941176</v>
      </c>
      <c r="F15" s="268">
        <f>F8/F10/12</f>
        <v>-4654.5741605392168</v>
      </c>
      <c r="G15" s="268">
        <f>G8/G10/12</f>
        <v>-5689.0349448529405</v>
      </c>
      <c r="H15" s="121"/>
      <c r="I15" s="121"/>
      <c r="J15" s="121"/>
      <c r="K15" s="132"/>
    </row>
    <row r="16" spans="1:13" ht="23.5">
      <c r="A16" s="326"/>
      <c r="B16" s="326"/>
      <c r="C16" s="265" t="s">
        <v>329</v>
      </c>
      <c r="D16" s="268">
        <f>D8/D10</f>
        <v>-40618.443602941174</v>
      </c>
      <c r="E16" s="268">
        <f>E8/E10</f>
        <v>-42315.807573529411</v>
      </c>
      <c r="F16" s="268">
        <f>F8/F10</f>
        <v>-55854.889926470598</v>
      </c>
      <c r="G16" s="268">
        <f>G8/G10</f>
        <v>-68268.419338235282</v>
      </c>
      <c r="H16" s="121"/>
      <c r="I16" s="121"/>
      <c r="J16" s="121"/>
      <c r="K16" s="132"/>
    </row>
    <row r="17" spans="1:11" s="217" customFormat="1" ht="23.5">
      <c r="A17" s="262"/>
      <c r="B17" s="262"/>
      <c r="C17" s="130"/>
      <c r="D17" s="263"/>
      <c r="E17" s="263"/>
      <c r="F17" s="130"/>
      <c r="G17" s="263"/>
      <c r="H17" s="263"/>
      <c r="I17" s="263"/>
      <c r="J17" s="263"/>
      <c r="K17" s="264"/>
    </row>
    <row r="18" spans="1:11" ht="41" customHeight="1">
      <c r="C18" s="328" t="s">
        <v>370</v>
      </c>
      <c r="D18" s="328"/>
      <c r="E18" s="328"/>
      <c r="F18" s="328"/>
      <c r="G18" s="121"/>
      <c r="H18" s="121"/>
      <c r="I18" s="121"/>
      <c r="J18" s="121"/>
      <c r="K18" s="132"/>
    </row>
    <row r="19" spans="1:11" ht="45" customHeight="1">
      <c r="C19" s="328"/>
      <c r="D19" s="328"/>
      <c r="E19" s="328"/>
      <c r="F19" s="328"/>
      <c r="G19" s="121"/>
      <c r="H19" s="121"/>
      <c r="I19" s="121"/>
      <c r="J19" s="121"/>
      <c r="K19" s="132"/>
    </row>
    <row r="20" spans="1:11" ht="45.75" customHeight="1">
      <c r="C20" s="327"/>
      <c r="D20" s="327"/>
      <c r="E20" s="327"/>
      <c r="F20" s="327"/>
      <c r="G20" s="121"/>
      <c r="H20" s="121"/>
      <c r="I20" s="121"/>
      <c r="J20" s="121"/>
      <c r="K20" s="132"/>
    </row>
    <row r="21" spans="1:11" ht="23.5">
      <c r="C21" s="132"/>
      <c r="D21" s="132"/>
      <c r="E21" s="132"/>
      <c r="F21" s="131"/>
      <c r="G21" s="132"/>
      <c r="H21" s="132"/>
      <c r="I21" s="132"/>
      <c r="J21" s="132"/>
      <c r="K21" s="132"/>
    </row>
  </sheetData>
  <mergeCells count="7">
    <mergeCell ref="I3:M4"/>
    <mergeCell ref="A11:B13"/>
    <mergeCell ref="I5:K5"/>
    <mergeCell ref="A14:B16"/>
    <mergeCell ref="C20:F20"/>
    <mergeCell ref="C4:F4"/>
    <mergeCell ref="C18:F19"/>
  </mergeCells>
  <conditionalFormatting sqref="A14:G14 D15:G15 A16:G16 A15:B15">
    <cfRule type="expression" dxfId="23" priority="15">
      <formula>$L$5="No"</formula>
    </cfRule>
  </conditionalFormatting>
  <conditionalFormatting sqref="D8:G8">
    <cfRule type="expression" dxfId="22" priority="1">
      <formula>$L$5="No"</formula>
    </cfRule>
  </conditionalFormatting>
  <dataValidations count="1">
    <dataValidation type="list" allowBlank="1" showInputMessage="1" showErrorMessage="1" sqref="L5" xr:uid="{00000000-0002-0000-0100-000000000000}">
      <formula1>"Yes, No"</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3" id="{771E41E7-E08E-46FD-9CB2-C29289ABCEC6}">
            <xm:f>'3. Basic Input &amp; Assumptions'!$D$10="No"</xm:f>
            <x14:dxf>
              <font>
                <color theme="9" tint="0.59996337778862885"/>
              </font>
            </x14:dxf>
          </x14:cfRule>
          <xm:sqref>D6</xm:sqref>
        </x14:conditionalFormatting>
        <x14:conditionalFormatting xmlns:xm="http://schemas.microsoft.com/office/excel/2006/main">
          <x14:cfRule type="expression" priority="34" id="{8AC9F022-E1D2-4294-B642-E6C33F1C14CB}">
            <xm:f>'3. Basic Input &amp; Assumptions'!$D$9="No"</xm:f>
            <x14:dxf>
              <font>
                <color theme="9" tint="0.59996337778862885"/>
              </font>
            </x14:dxf>
          </x14:cfRule>
          <xm:sqref>D7:D16</xm:sqref>
        </x14:conditionalFormatting>
        <x14:conditionalFormatting xmlns:xm="http://schemas.microsoft.com/office/excel/2006/main">
          <x14:cfRule type="expression" priority="35" id="{5826C6DA-4A62-410F-8E42-E32E26605AE3}">
            <xm:f>'3. Basic Input &amp; Assumptions'!$D$10="No"</xm:f>
            <x14:dxf>
              <font>
                <color theme="9" tint="0.59996337778862885"/>
              </font>
            </x14:dxf>
          </x14:cfRule>
          <xm:sqref>E6:E16</xm:sqref>
        </x14:conditionalFormatting>
        <x14:conditionalFormatting xmlns:xm="http://schemas.microsoft.com/office/excel/2006/main">
          <x14:cfRule type="expression" priority="18" id="{7C5AD174-9FC5-462B-88B1-7863DAA95366}">
            <xm:f>'3. Basic Input &amp; Assumptions'!$D$9="No"</xm:f>
            <x14:dxf>
              <font>
                <color theme="9" tint="0.59996337778862885"/>
              </font>
            </x14:dxf>
          </x14:cfRule>
          <xm:sqref>E10</xm:sqref>
        </x14:conditionalFormatting>
        <x14:conditionalFormatting xmlns:xm="http://schemas.microsoft.com/office/excel/2006/main">
          <x14:cfRule type="expression" priority="40" id="{E8A51F37-EEE2-4156-8521-518E927E48BB}">
            <xm:f>'3. Basic Input &amp; Assumptions'!$D$11="No"</xm:f>
            <x14:dxf>
              <font>
                <color theme="9" tint="0.59996337778862885"/>
              </font>
            </x14:dxf>
          </x14:cfRule>
          <xm:sqref>F6:F16</xm:sqref>
        </x14:conditionalFormatting>
        <x14:conditionalFormatting xmlns:xm="http://schemas.microsoft.com/office/excel/2006/main">
          <x14:cfRule type="expression" priority="16" id="{86E4986B-9B27-4387-92F3-56DF8E3C097C}">
            <xm:f>'3. Basic Input &amp; Assumptions'!$D$12="No"</xm:f>
            <x14:dxf>
              <font>
                <color theme="9" tint="0.59996337778862885"/>
              </font>
            </x14:dxf>
          </x14:cfRule>
          <xm:sqref>G6:G16</xm:sqref>
        </x14:conditionalFormatting>
        <x14:conditionalFormatting xmlns:xm="http://schemas.microsoft.com/office/excel/2006/main">
          <x14:cfRule type="expression" priority="3" id="{5C3E5734-78F1-446B-B992-C4010C1A967C}">
            <xm:f>'3. Basic Input &amp; Assumptions'!$D$11="No"</xm:f>
            <x14:dxf>
              <font>
                <color theme="9" tint="0.59996337778862885"/>
              </font>
            </x14:dxf>
          </x14:cfRule>
          <xm:sqref>G14:G16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L57"/>
  <sheetViews>
    <sheetView showGridLines="0" topLeftCell="C1" zoomScale="80" zoomScaleNormal="80" workbookViewId="0">
      <selection activeCell="C28" sqref="C28"/>
    </sheetView>
  </sheetViews>
  <sheetFormatPr defaultColWidth="9.1796875" defaultRowHeight="15.5"/>
  <cols>
    <col min="1" max="2" width="2.81640625" style="82" hidden="1" customWidth="1"/>
    <col min="3" max="3" width="72.1796875" style="82" customWidth="1"/>
    <col min="4" max="4" width="25.453125" style="82" customWidth="1"/>
    <col min="5" max="5" width="21.81640625" style="82" customWidth="1"/>
    <col min="6" max="6" width="32.7265625" style="88" customWidth="1"/>
    <col min="7" max="7" width="11.6328125" style="86" customWidth="1"/>
    <col min="8" max="8" width="10.6328125" style="185" customWidth="1"/>
    <col min="9" max="9" width="20.81640625" style="82" customWidth="1"/>
    <col min="10" max="10" width="25.1796875" style="82" customWidth="1"/>
    <col min="11" max="11" width="9.1796875" style="82" customWidth="1"/>
    <col min="12" max="12" width="24.36328125" style="82" customWidth="1"/>
    <col min="13" max="13" width="21.6328125" style="82" customWidth="1"/>
    <col min="14" max="14" width="17" style="82" customWidth="1"/>
    <col min="15" max="15" width="19.6328125" style="82" customWidth="1"/>
    <col min="16" max="16384" width="9.1796875" style="82"/>
  </cols>
  <sheetData>
    <row r="1" spans="2:12" s="81" customFormat="1">
      <c r="B1" s="79"/>
      <c r="C1" s="80"/>
      <c r="D1" s="80"/>
      <c r="H1" s="184"/>
    </row>
    <row r="2" spans="2:12">
      <c r="C2" s="83" t="s">
        <v>8</v>
      </c>
      <c r="D2" s="84"/>
      <c r="E2" s="84"/>
      <c r="F2" s="85"/>
    </row>
    <row r="4" spans="2:12" s="207" customFormat="1" ht="42.75" customHeight="1">
      <c r="C4" s="319" t="s">
        <v>371</v>
      </c>
      <c r="D4" s="319"/>
      <c r="E4" s="319"/>
      <c r="F4" s="319"/>
      <c r="G4" s="319"/>
      <c r="H4" s="319"/>
      <c r="I4" s="319"/>
    </row>
    <row r="5" spans="2:12">
      <c r="C5" s="87" t="s">
        <v>9</v>
      </c>
    </row>
    <row r="6" spans="2:12">
      <c r="C6" s="89" t="s">
        <v>148</v>
      </c>
      <c r="D6" s="90" t="s">
        <v>10</v>
      </c>
      <c r="E6" s="342" t="s">
        <v>130</v>
      </c>
      <c r="F6" s="342"/>
      <c r="G6" s="88"/>
      <c r="H6" s="186"/>
    </row>
    <row r="7" spans="2:12">
      <c r="C7" s="249"/>
      <c r="G7" s="88"/>
      <c r="H7" s="186"/>
    </row>
    <row r="8" spans="2:12">
      <c r="C8" s="87" t="s">
        <v>146</v>
      </c>
      <c r="E8" s="87" t="s">
        <v>149</v>
      </c>
      <c r="G8" s="290"/>
      <c r="H8" s="88"/>
    </row>
    <row r="9" spans="2:12">
      <c r="C9" s="91" t="s">
        <v>162</v>
      </c>
      <c r="D9" s="90" t="s">
        <v>10</v>
      </c>
      <c r="E9" s="339" t="s">
        <v>185</v>
      </c>
      <c r="F9" s="340"/>
      <c r="G9" s="329"/>
      <c r="H9" s="330"/>
      <c r="I9" s="330"/>
    </row>
    <row r="10" spans="2:12">
      <c r="C10" s="91" t="s">
        <v>159</v>
      </c>
      <c r="D10" s="90" t="s">
        <v>10</v>
      </c>
      <c r="E10" s="339" t="s">
        <v>164</v>
      </c>
      <c r="F10" s="340"/>
      <c r="G10" s="329"/>
      <c r="H10" s="330"/>
      <c r="I10" s="330"/>
    </row>
    <row r="11" spans="2:12">
      <c r="C11" s="91" t="s">
        <v>160</v>
      </c>
      <c r="D11" s="90" t="s">
        <v>10</v>
      </c>
      <c r="E11" s="339" t="s">
        <v>163</v>
      </c>
      <c r="F11" s="340"/>
      <c r="G11" s="329"/>
      <c r="H11" s="330"/>
      <c r="I11" s="330"/>
    </row>
    <row r="12" spans="2:12">
      <c r="C12" s="91" t="s">
        <v>161</v>
      </c>
      <c r="D12" s="90" t="s">
        <v>10</v>
      </c>
      <c r="E12" s="339" t="s">
        <v>334</v>
      </c>
      <c r="F12" s="340"/>
      <c r="G12" s="329"/>
      <c r="H12" s="330"/>
      <c r="I12" s="330"/>
    </row>
    <row r="13" spans="2:12" ht="31">
      <c r="B13" s="94" t="s">
        <v>11</v>
      </c>
      <c r="D13" s="95"/>
      <c r="E13" s="95"/>
      <c r="F13" s="96"/>
      <c r="G13" s="97"/>
      <c r="H13" s="187" t="s">
        <v>12</v>
      </c>
      <c r="L13" s="98"/>
    </row>
    <row r="14" spans="2:12">
      <c r="C14" s="341" t="s">
        <v>13</v>
      </c>
      <c r="D14" s="341"/>
      <c r="E14" s="341"/>
      <c r="F14" s="341"/>
      <c r="G14" s="341"/>
      <c r="H14" s="180">
        <v>0.15</v>
      </c>
    </row>
    <row r="15" spans="2:12" ht="37" customHeight="1">
      <c r="C15" s="336" t="s">
        <v>166</v>
      </c>
      <c r="D15" s="336"/>
      <c r="E15" s="336"/>
      <c r="F15" s="336"/>
      <c r="G15" s="336"/>
      <c r="H15" s="181">
        <v>20</v>
      </c>
    </row>
    <row r="16" spans="2:12" hidden="1">
      <c r="C16" s="337" t="s">
        <v>14</v>
      </c>
      <c r="D16" s="337"/>
      <c r="E16" s="337"/>
      <c r="F16" s="337"/>
      <c r="G16" s="337"/>
      <c r="H16" s="181">
        <v>5</v>
      </c>
    </row>
    <row r="17" spans="3:8" ht="39" customHeight="1">
      <c r="C17" s="343" t="s">
        <v>341</v>
      </c>
      <c r="D17" s="344"/>
      <c r="E17" s="344"/>
      <c r="F17" s="344"/>
      <c r="G17" s="344"/>
      <c r="H17" s="182">
        <v>0.625</v>
      </c>
    </row>
    <row r="18" spans="3:8">
      <c r="C18" s="338" t="s">
        <v>15</v>
      </c>
      <c r="D18" s="338"/>
      <c r="E18" s="338"/>
      <c r="F18" s="338"/>
      <c r="G18" s="338"/>
      <c r="H18" s="183">
        <v>2.5000000000000001E-2</v>
      </c>
    </row>
    <row r="19" spans="3:8" ht="30.5" customHeight="1">
      <c r="C19" s="337" t="s">
        <v>165</v>
      </c>
      <c r="D19" s="337"/>
      <c r="E19" s="337"/>
      <c r="F19" s="337"/>
      <c r="G19" s="337"/>
      <c r="H19" s="183">
        <v>1.4999999999999999E-2</v>
      </c>
    </row>
    <row r="20" spans="3:8">
      <c r="C20" s="345" t="s">
        <v>152</v>
      </c>
      <c r="D20" s="346"/>
      <c r="E20" s="346"/>
      <c r="F20" s="346"/>
      <c r="G20" s="347"/>
      <c r="H20" s="195">
        <v>0.28260000000000002</v>
      </c>
    </row>
    <row r="22" spans="3:8">
      <c r="F22" s="82"/>
      <c r="G22" s="82"/>
    </row>
    <row r="23" spans="3:8">
      <c r="C23" s="87" t="s">
        <v>17</v>
      </c>
      <c r="D23" s="99"/>
      <c r="F23" s="82"/>
      <c r="G23" s="82"/>
    </row>
    <row r="24" spans="3:8">
      <c r="C24" s="333" t="s">
        <v>167</v>
      </c>
      <c r="D24" s="334"/>
      <c r="E24" s="334"/>
      <c r="F24" s="334"/>
      <c r="G24" s="335"/>
    </row>
    <row r="25" spans="3:8" ht="15.5" customHeight="1">
      <c r="C25" s="331" t="s">
        <v>421</v>
      </c>
      <c r="D25" s="332"/>
      <c r="E25" s="332"/>
      <c r="F25" s="332"/>
      <c r="G25" s="332"/>
    </row>
    <row r="26" spans="3:8" ht="5" customHeight="1">
      <c r="C26" s="332"/>
      <c r="D26" s="332"/>
      <c r="E26" s="332"/>
      <c r="F26" s="332"/>
      <c r="G26" s="332"/>
    </row>
    <row r="27" spans="3:8">
      <c r="F27" s="82"/>
      <c r="G27" s="82"/>
    </row>
    <row r="28" spans="3:8">
      <c r="F28" s="82"/>
      <c r="G28" s="82"/>
    </row>
    <row r="29" spans="3:8">
      <c r="F29" s="82"/>
      <c r="G29" s="82"/>
    </row>
    <row r="30" spans="3:8">
      <c r="F30" s="82"/>
      <c r="G30" s="82"/>
    </row>
    <row r="31" spans="3:8">
      <c r="F31" s="82"/>
      <c r="G31" s="82"/>
    </row>
    <row r="32" spans="3:8">
      <c r="F32" s="82"/>
      <c r="G32" s="82"/>
    </row>
    <row r="33" spans="6:7">
      <c r="F33" s="82"/>
      <c r="G33" s="82"/>
    </row>
    <row r="34" spans="6:7">
      <c r="F34" s="82"/>
      <c r="G34" s="82"/>
    </row>
    <row r="35" spans="6:7">
      <c r="F35" s="82"/>
      <c r="G35" s="82"/>
    </row>
    <row r="36" spans="6:7">
      <c r="F36" s="82"/>
      <c r="G36" s="82"/>
    </row>
    <row r="37" spans="6:7">
      <c r="F37" s="82"/>
      <c r="G37" s="82"/>
    </row>
    <row r="38" spans="6:7">
      <c r="F38" s="82"/>
      <c r="G38" s="82"/>
    </row>
    <row r="39" spans="6:7">
      <c r="F39" s="82"/>
      <c r="G39" s="82"/>
    </row>
    <row r="40" spans="6:7">
      <c r="F40" s="82"/>
      <c r="G40" s="82"/>
    </row>
    <row r="41" spans="6:7">
      <c r="F41" s="82"/>
      <c r="G41" s="82"/>
    </row>
    <row r="42" spans="6:7">
      <c r="F42" s="82"/>
      <c r="G42" s="82"/>
    </row>
    <row r="43" spans="6:7">
      <c r="F43" s="82"/>
      <c r="G43" s="82"/>
    </row>
    <row r="44" spans="6:7">
      <c r="F44" s="82"/>
      <c r="G44" s="82"/>
    </row>
    <row r="45" spans="6:7">
      <c r="F45" s="82"/>
      <c r="G45" s="82"/>
    </row>
    <row r="46" spans="6:7">
      <c r="F46" s="82"/>
      <c r="G46" s="82"/>
    </row>
    <row r="47" spans="6:7">
      <c r="F47" s="82"/>
      <c r="G47" s="82"/>
    </row>
    <row r="48" spans="6:7">
      <c r="F48" s="82"/>
      <c r="G48" s="82"/>
    </row>
    <row r="49" spans="6:7">
      <c r="F49" s="82"/>
      <c r="G49" s="82"/>
    </row>
    <row r="50" spans="6:7">
      <c r="F50" s="82"/>
      <c r="G50" s="82"/>
    </row>
    <row r="51" spans="6:7">
      <c r="F51" s="82"/>
      <c r="G51" s="82"/>
    </row>
    <row r="52" spans="6:7">
      <c r="F52" s="82"/>
      <c r="G52" s="82"/>
    </row>
    <row r="53" spans="6:7">
      <c r="F53" s="82"/>
      <c r="G53" s="82"/>
    </row>
    <row r="54" spans="6:7">
      <c r="F54" s="82"/>
      <c r="G54" s="82"/>
    </row>
    <row r="55" spans="6:7">
      <c r="F55" s="82"/>
      <c r="G55" s="82"/>
    </row>
    <row r="56" spans="6:7">
      <c r="F56" s="82"/>
      <c r="G56" s="82"/>
    </row>
    <row r="57" spans="6:7">
      <c r="F57" s="82"/>
      <c r="G57" s="82"/>
    </row>
  </sheetData>
  <mergeCells count="16">
    <mergeCell ref="G9:I12"/>
    <mergeCell ref="C25:G26"/>
    <mergeCell ref="C4:I4"/>
    <mergeCell ref="C24:G24"/>
    <mergeCell ref="C15:G15"/>
    <mergeCell ref="C19:G19"/>
    <mergeCell ref="C18:G18"/>
    <mergeCell ref="C16:G16"/>
    <mergeCell ref="E11:F11"/>
    <mergeCell ref="C14:G14"/>
    <mergeCell ref="E6:F6"/>
    <mergeCell ref="E9:F9"/>
    <mergeCell ref="E10:F10"/>
    <mergeCell ref="C17:G17"/>
    <mergeCell ref="C20:G20"/>
    <mergeCell ref="E12:F12"/>
  </mergeCells>
  <conditionalFormatting sqref="A24:B25">
    <cfRule type="expression" dxfId="14" priority="2">
      <formula>$D$6="No"</formula>
    </cfRule>
  </conditionalFormatting>
  <conditionalFormatting sqref="A4:C4 A5:F5">
    <cfRule type="expression" priority="4">
      <formula>$D$6="No"</formula>
    </cfRule>
  </conditionalFormatting>
  <conditionalFormatting sqref="E6:F6">
    <cfRule type="expression" dxfId="13" priority="3">
      <formula>$D$6="No"</formula>
    </cfRule>
  </conditionalFormatting>
  <dataValidations count="1">
    <dataValidation type="list" allowBlank="1" showInputMessage="1" showErrorMessage="1" sqref="D6 D9:D12" xr:uid="{00000000-0002-0000-0200-000000000000}">
      <formula1>"Yes,No"</formula1>
    </dataValidation>
  </dataValidations>
  <hyperlinks>
    <hyperlink ref="E9:F9" location="'4. Coordinated Care'!A1" display="Link to Coordinated Care Model Budget Tab" xr:uid="{00000000-0004-0000-0200-000000000000}"/>
    <hyperlink ref="E10:F10" location="'5. Coordinated Clinical'!A1" display="Link to Coordinated Clinical Care Model Budget Tab" xr:uid="{00000000-0004-0000-0200-000001000000}"/>
    <hyperlink ref="E11:F11" location="'6. Integrated Clinical'!A1" display="Link to Integrated Clinical Care Model Budget Tab" xr:uid="{00000000-0004-0000-0200-000002000000}"/>
    <hyperlink ref="E6:F6" location="'8. General Start Up Cost'!A1" display="Link to General Start Up Budget Tab" xr:uid="{00000000-0004-0000-0200-000003000000}"/>
    <hyperlink ref="E12:F12" location="'7. Comprehensive Clinical'!A1" display="Link to Comprehensive Clinical Care Model Budget Tab (non-clinical)" xr:uid="{00000000-0004-0000-0200-000005000000}"/>
  </hyperlink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B1:U80"/>
  <sheetViews>
    <sheetView showGridLines="0" topLeftCell="A6" zoomScale="75" zoomScaleNormal="75" workbookViewId="0">
      <selection activeCell="H7" sqref="H7"/>
    </sheetView>
  </sheetViews>
  <sheetFormatPr defaultColWidth="9.1796875" defaultRowHeight="15.5"/>
  <cols>
    <col min="1" max="1" width="8.984375E-2" style="4" customWidth="1"/>
    <col min="2" max="2" width="2.81640625" style="4" hidden="1" customWidth="1"/>
    <col min="3" max="3" width="37.453125" style="70" customWidth="1"/>
    <col min="4" max="4" width="14.36328125" style="4" customWidth="1"/>
    <col min="5" max="5" width="41.81640625" style="4" customWidth="1"/>
    <col min="6" max="6" width="15.6328125" style="4" customWidth="1"/>
    <col min="7" max="7" width="24.1796875" style="10" customWidth="1"/>
    <col min="8" max="8" width="17.81640625" style="8" customWidth="1"/>
    <col min="9" max="9" width="20.36328125" style="8" customWidth="1"/>
    <col min="10" max="11" width="25.36328125" style="4" customWidth="1"/>
    <col min="12" max="12" width="25.1796875" style="4" customWidth="1"/>
    <col min="13" max="13" width="9.1796875" style="4" customWidth="1"/>
    <col min="14" max="14" width="24.36328125" style="4" customWidth="1"/>
    <col min="15" max="15" width="21.6328125" style="4" customWidth="1"/>
    <col min="16" max="16" width="17" style="4" customWidth="1"/>
    <col min="17" max="17" width="19.6328125" style="4" customWidth="1"/>
    <col min="18" max="16384" width="9.1796875" style="4"/>
  </cols>
  <sheetData>
    <row r="1" spans="2:21" ht="94" customHeight="1">
      <c r="E1" s="348"/>
      <c r="F1" s="348"/>
      <c r="G1" s="348"/>
      <c r="H1" s="348"/>
      <c r="I1" s="348"/>
      <c r="J1" s="348"/>
    </row>
    <row r="2" spans="2:21" s="3" customFormat="1">
      <c r="B2" s="1"/>
      <c r="C2" s="66"/>
      <c r="D2" s="2"/>
    </row>
    <row r="3" spans="2:21" ht="21">
      <c r="C3" s="300" t="s">
        <v>186</v>
      </c>
      <c r="D3" s="6"/>
      <c r="E3" s="6"/>
      <c r="F3" s="6"/>
      <c r="G3" s="7"/>
    </row>
    <row r="4" spans="2:21">
      <c r="C4" s="226" t="s">
        <v>212</v>
      </c>
    </row>
    <row r="5" spans="2:21">
      <c r="C5" s="9" t="s">
        <v>347</v>
      </c>
    </row>
    <row r="6" spans="2:21" ht="123.5" customHeight="1">
      <c r="C6" s="349" t="s">
        <v>346</v>
      </c>
      <c r="D6" s="350"/>
      <c r="E6" s="350"/>
      <c r="F6" s="350"/>
      <c r="G6" s="350"/>
      <c r="H6" s="350"/>
      <c r="I6" s="151"/>
    </row>
    <row r="7" spans="2:21" ht="140.5" customHeight="1">
      <c r="C7" s="349" t="s">
        <v>360</v>
      </c>
      <c r="D7" s="349"/>
      <c r="E7" s="295" t="s">
        <v>377</v>
      </c>
      <c r="F7" s="164"/>
      <c r="G7" s="306"/>
      <c r="H7" s="164"/>
      <c r="I7" s="151"/>
    </row>
    <row r="8" spans="2:21" s="395" customFormat="1" ht="30.5" customHeight="1">
      <c r="C8" s="396" t="s">
        <v>424</v>
      </c>
    </row>
    <row r="9" spans="2:21" ht="23.5">
      <c r="C9" s="359" t="s">
        <v>211</v>
      </c>
      <c r="D9" s="359"/>
      <c r="E9" s="164"/>
      <c r="F9" s="164"/>
      <c r="G9" s="164"/>
      <c r="H9" s="164"/>
      <c r="I9" s="151"/>
    </row>
    <row r="10" spans="2:21" ht="15.5" customHeight="1">
      <c r="C10" s="358" t="s">
        <v>337</v>
      </c>
      <c r="D10" s="358"/>
      <c r="E10" s="358"/>
      <c r="F10" s="358"/>
      <c r="G10" s="358"/>
      <c r="H10" s="358"/>
      <c r="N10" s="11"/>
    </row>
    <row r="11" spans="2:21" ht="34" customHeight="1">
      <c r="C11" s="358"/>
      <c r="D11" s="358"/>
      <c r="E11" s="358"/>
      <c r="F11" s="358"/>
      <c r="G11" s="358"/>
      <c r="H11" s="358"/>
    </row>
    <row r="12" spans="2:21" ht="18.75" customHeight="1">
      <c r="C12" s="67" t="s">
        <v>194</v>
      </c>
      <c r="D12" s="12" t="s">
        <v>207</v>
      </c>
      <c r="E12" s="229"/>
      <c r="F12" s="230"/>
      <c r="G12" s="212"/>
      <c r="H12" s="13"/>
      <c r="I12" s="13"/>
      <c r="J12" s="14" t="s">
        <v>18</v>
      </c>
      <c r="N12" s="11"/>
      <c r="O12" s="11"/>
      <c r="P12" s="11"/>
      <c r="Q12" s="11"/>
      <c r="R12" s="11"/>
    </row>
    <row r="13" spans="2:21" ht="19.5" customHeight="1">
      <c r="B13" s="15"/>
      <c r="C13" s="68" t="s">
        <v>195</v>
      </c>
      <c r="D13" s="251">
        <v>17</v>
      </c>
      <c r="E13" s="253"/>
      <c r="F13" s="252"/>
      <c r="G13" s="213"/>
      <c r="H13" s="69"/>
      <c r="I13" s="69"/>
      <c r="J13" s="18"/>
      <c r="N13" s="11"/>
      <c r="O13" s="11"/>
      <c r="P13" s="11"/>
      <c r="Q13" s="11"/>
      <c r="R13" s="11"/>
    </row>
    <row r="14" spans="2:21">
      <c r="D14" s="71"/>
      <c r="G14" s="27"/>
      <c r="H14" s="36"/>
      <c r="I14" s="36"/>
      <c r="N14" s="26"/>
      <c r="O14" s="72"/>
      <c r="P14" s="73"/>
      <c r="Q14" s="73"/>
    </row>
    <row r="15" spans="2:21" ht="43.5" customHeight="1">
      <c r="C15" s="350" t="s">
        <v>319</v>
      </c>
      <c r="D15" s="350"/>
      <c r="E15" s="350"/>
      <c r="F15" s="350"/>
      <c r="G15" s="350"/>
      <c r="H15" s="350"/>
      <c r="I15" s="164"/>
    </row>
    <row r="16" spans="2:21" ht="15.5" customHeight="1">
      <c r="C16" s="350" t="s">
        <v>338</v>
      </c>
      <c r="D16" s="350"/>
      <c r="E16" s="350"/>
      <c r="F16" s="350"/>
      <c r="G16" s="350"/>
      <c r="H16" s="350"/>
      <c r="I16" s="350"/>
      <c r="N16" s="11"/>
      <c r="R16" s="9"/>
      <c r="S16" s="9"/>
      <c r="T16" s="9"/>
      <c r="U16" s="9"/>
    </row>
    <row r="17" spans="3:21" ht="36.5" customHeight="1">
      <c r="C17" s="350"/>
      <c r="D17" s="350"/>
      <c r="E17" s="350"/>
      <c r="F17" s="350"/>
      <c r="G17" s="350"/>
      <c r="H17" s="350"/>
      <c r="I17" s="350"/>
      <c r="N17" s="11"/>
      <c r="R17" s="9"/>
      <c r="S17" s="9"/>
      <c r="T17" s="9"/>
      <c r="U17" s="9"/>
    </row>
    <row r="18" spans="3:21">
      <c r="C18" s="164"/>
      <c r="D18" s="164"/>
      <c r="E18" s="164"/>
      <c r="F18" s="164"/>
      <c r="G18" s="164"/>
      <c r="H18" s="164"/>
      <c r="I18" s="164"/>
      <c r="N18" s="11"/>
      <c r="R18" s="9"/>
      <c r="S18" s="9"/>
      <c r="T18" s="9"/>
      <c r="U18" s="9"/>
    </row>
    <row r="19" spans="3:21" ht="52" customHeight="1">
      <c r="C19" s="350" t="s">
        <v>326</v>
      </c>
      <c r="D19" s="350"/>
      <c r="E19" s="350"/>
      <c r="F19" s="350"/>
      <c r="G19" s="350"/>
      <c r="H19" s="350"/>
      <c r="I19" s="350"/>
      <c r="N19" s="11"/>
      <c r="R19" s="9"/>
      <c r="S19" s="9"/>
      <c r="T19" s="9"/>
      <c r="U19" s="9"/>
    </row>
    <row r="20" spans="3:21" ht="15.5" customHeight="1">
      <c r="C20" s="9" t="s">
        <v>229</v>
      </c>
      <c r="D20" s="164"/>
      <c r="E20" s="164"/>
      <c r="F20" s="164"/>
      <c r="G20" s="164"/>
      <c r="I20" s="164"/>
      <c r="N20" s="11"/>
      <c r="R20" s="9"/>
      <c r="S20" s="9"/>
      <c r="T20" s="9"/>
      <c r="U20" s="9"/>
    </row>
    <row r="21" spans="3:21">
      <c r="D21" s="360" t="s">
        <v>208</v>
      </c>
      <c r="E21" s="360" t="s">
        <v>20</v>
      </c>
      <c r="F21" s="357" t="s">
        <v>322</v>
      </c>
      <c r="G21" s="363" t="s">
        <v>327</v>
      </c>
      <c r="H21" s="364" t="s">
        <v>325</v>
      </c>
    </row>
    <row r="22" spans="3:21" ht="15.5" customHeight="1">
      <c r="D22" s="361"/>
      <c r="E22" s="361"/>
      <c r="F22" s="357"/>
      <c r="G22" s="363"/>
      <c r="H22" s="364"/>
      <c r="N22" s="11"/>
    </row>
    <row r="23" spans="3:21" ht="66" customHeight="1">
      <c r="D23" s="362"/>
      <c r="E23" s="362"/>
      <c r="F23" s="357"/>
      <c r="G23" s="363"/>
      <c r="H23" s="364"/>
      <c r="K23" s="21"/>
    </row>
    <row r="24" spans="3:21" ht="39" customHeight="1">
      <c r="C24" s="74" t="s">
        <v>21</v>
      </c>
      <c r="D24" s="291">
        <v>0.5</v>
      </c>
      <c r="E24" s="292">
        <v>90000</v>
      </c>
      <c r="F24" s="365" t="s">
        <v>10</v>
      </c>
      <c r="G24" s="259">
        <v>0</v>
      </c>
      <c r="H24" s="296">
        <f>G24*E24</f>
        <v>0</v>
      </c>
    </row>
    <row r="25" spans="3:21">
      <c r="C25" s="25" t="s">
        <v>168</v>
      </c>
      <c r="D25" s="250">
        <v>1</v>
      </c>
      <c r="E25" s="24">
        <v>64000</v>
      </c>
      <c r="F25" s="365"/>
      <c r="G25" s="260">
        <v>0.1</v>
      </c>
      <c r="H25" s="296">
        <f>G25*E25</f>
        <v>6400</v>
      </c>
    </row>
    <row r="26" spans="3:21">
      <c r="C26" s="25" t="s">
        <v>169</v>
      </c>
      <c r="D26" s="250">
        <v>1</v>
      </c>
      <c r="E26" s="24">
        <v>55000</v>
      </c>
      <c r="F26" s="365"/>
      <c r="G26" s="260">
        <v>0</v>
      </c>
      <c r="H26" s="296">
        <f>G26*E26</f>
        <v>0</v>
      </c>
    </row>
    <row r="27" spans="3:21" ht="46.5">
      <c r="C27" s="25" t="s">
        <v>206</v>
      </c>
      <c r="D27" s="250">
        <v>3</v>
      </c>
      <c r="E27" s="24">
        <v>45000</v>
      </c>
      <c r="F27" s="365"/>
      <c r="G27" s="257">
        <v>0</v>
      </c>
      <c r="H27" s="296">
        <f>G27*E27</f>
        <v>0</v>
      </c>
    </row>
    <row r="28" spans="3:21">
      <c r="C28" s="254" t="s">
        <v>201</v>
      </c>
      <c r="D28" s="255"/>
      <c r="E28" s="255"/>
      <c r="F28" s="365"/>
      <c r="G28" s="257">
        <v>0</v>
      </c>
      <c r="H28" s="296">
        <f>G28*E28</f>
        <v>0</v>
      </c>
    </row>
    <row r="29" spans="3:21">
      <c r="C29" s="75"/>
      <c r="D29" s="36"/>
      <c r="E29" s="76"/>
      <c r="F29" s="76"/>
      <c r="G29" s="10" t="s">
        <v>332</v>
      </c>
      <c r="H29" s="293">
        <f>SUM(H24:H28)</f>
        <v>6400</v>
      </c>
    </row>
    <row r="30" spans="3:21">
      <c r="C30" s="353" t="s">
        <v>36</v>
      </c>
      <c r="D30" s="353"/>
      <c r="G30" s="11"/>
    </row>
    <row r="31" spans="3:21">
      <c r="G31" s="354" t="s">
        <v>343</v>
      </c>
      <c r="H31" s="355"/>
      <c r="I31" s="355"/>
      <c r="J31" s="355"/>
      <c r="K31" s="355"/>
      <c r="L31" s="356"/>
    </row>
    <row r="32" spans="3:21" ht="31">
      <c r="C32" s="351" t="s">
        <v>416</v>
      </c>
      <c r="D32" s="352"/>
      <c r="E32" s="37"/>
      <c r="F32" s="37"/>
      <c r="G32" s="152"/>
      <c r="H32" s="153" t="s">
        <v>321</v>
      </c>
      <c r="I32" s="154" t="s">
        <v>131</v>
      </c>
      <c r="J32" s="153" t="s">
        <v>37</v>
      </c>
      <c r="K32" s="153" t="s">
        <v>38</v>
      </c>
      <c r="L32" s="153" t="s">
        <v>39</v>
      </c>
    </row>
    <row r="33" spans="3:12">
      <c r="C33" s="106" t="s">
        <v>40</v>
      </c>
      <c r="D33" s="39"/>
      <c r="E33" s="40"/>
      <c r="F33" s="40"/>
      <c r="G33" s="106" t="s">
        <v>40</v>
      </c>
      <c r="H33" s="39"/>
      <c r="I33" s="39"/>
      <c r="J33" s="39"/>
      <c r="K33" s="39"/>
      <c r="L33" s="39"/>
    </row>
    <row r="34" spans="3:12" ht="31" customHeight="1">
      <c r="C34" s="50" t="s">
        <v>41</v>
      </c>
      <c r="D34" s="42">
        <f>SUMPRODUCT(D24:D28,E24:E28)</f>
        <v>299000</v>
      </c>
      <c r="E34" s="43"/>
      <c r="F34" s="43"/>
      <c r="G34" s="50" t="s">
        <v>41</v>
      </c>
      <c r="H34" s="42">
        <f t="shared" ref="H34:H39" si="0">SUM(I34:L34)</f>
        <v>919611.875</v>
      </c>
      <c r="I34" s="42"/>
      <c r="J34" s="42">
        <f>D34+I34</f>
        <v>299000</v>
      </c>
      <c r="K34" s="42">
        <f>J34*(1+$H$80)</f>
        <v>306475</v>
      </c>
      <c r="L34" s="42">
        <f>K34*(1+$H$80)</f>
        <v>314136.875</v>
      </c>
    </row>
    <row r="35" spans="3:12" ht="33.5" customHeight="1">
      <c r="C35" s="50" t="s">
        <v>42</v>
      </c>
      <c r="D35" s="42">
        <f>D34*'3. Basic Input &amp; Assumptions'!H20</f>
        <v>84497.400000000009</v>
      </c>
      <c r="E35" s="43"/>
      <c r="F35" s="43"/>
      <c r="G35" s="50" t="s">
        <v>42</v>
      </c>
      <c r="H35" s="42">
        <f t="shared" si="0"/>
        <v>259882.31587500003</v>
      </c>
      <c r="I35" s="42"/>
      <c r="J35" s="42">
        <f>(J34*'3. Basic Input &amp; Assumptions'!$H$20)</f>
        <v>84497.400000000009</v>
      </c>
      <c r="K35" s="42">
        <f>(K34*'3. Basic Input &amp; Assumptions'!$H$20)</f>
        <v>86609.835000000006</v>
      </c>
      <c r="L35" s="42">
        <f>(L34*'3. Basic Input &amp; Assumptions'!$H$20)</f>
        <v>88775.080875</v>
      </c>
    </row>
    <row r="36" spans="3:12">
      <c r="C36" s="50" t="s">
        <v>43</v>
      </c>
      <c r="D36" s="44"/>
      <c r="E36" s="366" t="s">
        <v>320</v>
      </c>
      <c r="F36" s="256"/>
      <c r="G36" s="50" t="s">
        <v>43</v>
      </c>
      <c r="H36" s="42">
        <f t="shared" si="0"/>
        <v>0</v>
      </c>
      <c r="I36" s="42"/>
      <c r="J36" s="44">
        <f>D36+I36</f>
        <v>0</v>
      </c>
      <c r="K36" s="44">
        <f t="shared" ref="K36:L38" si="1">J36*(1+$H$80)</f>
        <v>0</v>
      </c>
      <c r="L36" s="44">
        <f t="shared" si="1"/>
        <v>0</v>
      </c>
    </row>
    <row r="37" spans="3:12" ht="31">
      <c r="C37" s="50" t="s">
        <v>44</v>
      </c>
      <c r="D37" s="44"/>
      <c r="E37" s="366"/>
      <c r="F37" s="256"/>
      <c r="G37" s="50" t="s">
        <v>44</v>
      </c>
      <c r="H37" s="42">
        <f t="shared" si="0"/>
        <v>4500</v>
      </c>
      <c r="I37" s="167">
        <f>SUM('8. General Start Up Cost'!$F$10:$F$15)</f>
        <v>4500</v>
      </c>
      <c r="J37" s="44">
        <f>D37</f>
        <v>0</v>
      </c>
      <c r="K37" s="44">
        <f t="shared" si="1"/>
        <v>0</v>
      </c>
      <c r="L37" s="44">
        <f t="shared" si="1"/>
        <v>0</v>
      </c>
    </row>
    <row r="38" spans="3:12" ht="31">
      <c r="C38" s="102" t="s">
        <v>45</v>
      </c>
      <c r="D38" s="45">
        <f>D34*('3. Basic Input &amp; Assumptions'!H19)</f>
        <v>4485</v>
      </c>
      <c r="E38" s="133" t="s">
        <v>46</v>
      </c>
      <c r="F38" s="133"/>
      <c r="G38" s="102" t="s">
        <v>45</v>
      </c>
      <c r="H38" s="196">
        <f t="shared" si="0"/>
        <v>13794.178124999999</v>
      </c>
      <c r="I38" s="194">
        <f>SUM('8. General Start Up Cost'!$F$17:$F$20)</f>
        <v>0</v>
      </c>
      <c r="J38" s="44">
        <f>D38</f>
        <v>4485</v>
      </c>
      <c r="K38" s="44">
        <f t="shared" si="1"/>
        <v>4597.125</v>
      </c>
      <c r="L38" s="44">
        <f t="shared" si="1"/>
        <v>4712.0531249999995</v>
      </c>
    </row>
    <row r="39" spans="3:12" ht="31">
      <c r="C39" s="47" t="s">
        <v>47</v>
      </c>
      <c r="D39" s="39">
        <f>SUM(D34:D38)</f>
        <v>387982.4</v>
      </c>
      <c r="E39" s="43"/>
      <c r="F39" s="43"/>
      <c r="G39" s="47" t="s">
        <v>47</v>
      </c>
      <c r="H39" s="161">
        <f t="shared" si="0"/>
        <v>1197788.3689999999</v>
      </c>
      <c r="I39" s="172">
        <f>SUM(I34:I38)</f>
        <v>4500</v>
      </c>
      <c r="J39" s="172">
        <f>SUM(J34:J38)</f>
        <v>387982.4</v>
      </c>
      <c r="K39" s="172">
        <f>SUM(K34:K38)</f>
        <v>397681.96</v>
      </c>
      <c r="L39" s="172">
        <f>SUM(L34:L38)</f>
        <v>407624.00899999996</v>
      </c>
    </row>
    <row r="40" spans="3:12">
      <c r="C40" s="49"/>
      <c r="D40" s="42"/>
      <c r="E40" s="43"/>
      <c r="F40" s="43"/>
      <c r="G40" s="49"/>
      <c r="H40" s="42"/>
      <c r="I40" s="42"/>
      <c r="J40" s="42"/>
      <c r="K40" s="42"/>
      <c r="L40" s="42"/>
    </row>
    <row r="41" spans="3:12">
      <c r="C41" s="107" t="s">
        <v>411</v>
      </c>
      <c r="D41" s="42"/>
      <c r="E41" s="43"/>
      <c r="F41" s="43"/>
      <c r="G41" s="107" t="s">
        <v>48</v>
      </c>
      <c r="H41" s="42"/>
      <c r="I41" s="42"/>
      <c r="J41" s="42"/>
      <c r="K41" s="42"/>
      <c r="L41" s="42"/>
    </row>
    <row r="42" spans="3:12">
      <c r="C42" s="50" t="s">
        <v>49</v>
      </c>
      <c r="D42" s="44">
        <v>70000</v>
      </c>
      <c r="E42" s="43"/>
      <c r="F42" s="43"/>
      <c r="G42" s="50" t="s">
        <v>49</v>
      </c>
      <c r="H42" s="44">
        <f>SUM(I42:L42)</f>
        <v>226293.75</v>
      </c>
      <c r="I42" s="167">
        <f>'8. General Start Up Cost'!$F$24</f>
        <v>11000</v>
      </c>
      <c r="J42" s="44">
        <f>D42</f>
        <v>70000</v>
      </c>
      <c r="K42" s="44">
        <f t="shared" ref="K42:L46" si="2">J42*(1+$H$80)</f>
        <v>71750</v>
      </c>
      <c r="L42" s="44">
        <f t="shared" si="2"/>
        <v>73543.75</v>
      </c>
    </row>
    <row r="43" spans="3:12">
      <c r="C43" s="50" t="s">
        <v>50</v>
      </c>
      <c r="D43" s="44">
        <v>9500</v>
      </c>
      <c r="E43" s="43"/>
      <c r="F43" s="43"/>
      <c r="G43" s="50" t="s">
        <v>50</v>
      </c>
      <c r="H43" s="44">
        <f t="shared" ref="H43:H49" si="3">SUM(I43:L43)</f>
        <v>29218.4375</v>
      </c>
      <c r="I43" s="167">
        <f>'8. General Start Up Cost'!$F$25</f>
        <v>0</v>
      </c>
      <c r="J43" s="44">
        <f>D43</f>
        <v>9500</v>
      </c>
      <c r="K43" s="44">
        <f t="shared" si="2"/>
        <v>9737.5</v>
      </c>
      <c r="L43" s="44">
        <f t="shared" si="2"/>
        <v>9980.9375</v>
      </c>
    </row>
    <row r="44" spans="3:12">
      <c r="C44" s="50" t="s">
        <v>51</v>
      </c>
      <c r="D44" s="44">
        <v>12500</v>
      </c>
      <c r="E44" s="43"/>
      <c r="F44" s="43"/>
      <c r="G44" s="50" t="s">
        <v>51</v>
      </c>
      <c r="H44" s="44">
        <f t="shared" si="3"/>
        <v>38445.3125</v>
      </c>
      <c r="I44" s="167">
        <f>'8. General Start Up Cost'!$F$26</f>
        <v>0</v>
      </c>
      <c r="J44" s="44">
        <f>D44</f>
        <v>12500</v>
      </c>
      <c r="K44" s="44">
        <f t="shared" si="2"/>
        <v>12812.499999999998</v>
      </c>
      <c r="L44" s="44">
        <f t="shared" si="2"/>
        <v>13132.812499999996</v>
      </c>
    </row>
    <row r="45" spans="3:12" ht="31">
      <c r="C45" s="50" t="s">
        <v>180</v>
      </c>
      <c r="D45" s="44">
        <v>100000</v>
      </c>
      <c r="E45" s="43"/>
      <c r="F45" s="43"/>
      <c r="G45" s="50" t="s">
        <v>52</v>
      </c>
      <c r="H45" s="44">
        <f t="shared" si="3"/>
        <v>307562.5</v>
      </c>
      <c r="I45" s="42"/>
      <c r="J45" s="44">
        <f>D45</f>
        <v>100000</v>
      </c>
      <c r="K45" s="44">
        <f t="shared" si="2"/>
        <v>102499.99999999999</v>
      </c>
      <c r="L45" s="44">
        <f t="shared" si="2"/>
        <v>105062.49999999997</v>
      </c>
    </row>
    <row r="46" spans="3:12" ht="31">
      <c r="C46" s="50" t="s">
        <v>182</v>
      </c>
      <c r="D46" s="44">
        <v>9600</v>
      </c>
      <c r="E46" s="43"/>
      <c r="F46" s="43"/>
      <c r="G46" s="50" t="s">
        <v>53</v>
      </c>
      <c r="H46" s="44">
        <f t="shared" si="3"/>
        <v>29526</v>
      </c>
      <c r="I46" s="167">
        <f>'8. General Start Up Cost'!$F$27</f>
        <v>0</v>
      </c>
      <c r="J46" s="44">
        <f>D46</f>
        <v>9600</v>
      </c>
      <c r="K46" s="44">
        <f t="shared" si="2"/>
        <v>9840</v>
      </c>
      <c r="L46" s="44">
        <f t="shared" si="2"/>
        <v>10086</v>
      </c>
    </row>
    <row r="47" spans="3:12">
      <c r="C47" s="50" t="s">
        <v>183</v>
      </c>
      <c r="D47" s="44"/>
      <c r="E47" s="43"/>
      <c r="F47" s="43"/>
      <c r="G47" s="50"/>
      <c r="H47" s="44"/>
      <c r="I47" s="167"/>
      <c r="J47" s="44"/>
      <c r="K47" s="44"/>
      <c r="L47" s="44"/>
    </row>
    <row r="48" spans="3:12">
      <c r="C48" s="50" t="s">
        <v>54</v>
      </c>
      <c r="D48" s="44">
        <v>5000</v>
      </c>
      <c r="E48" s="43"/>
      <c r="F48" s="43"/>
      <c r="G48" s="50" t="s">
        <v>54</v>
      </c>
      <c r="H48" s="44">
        <f>SUM(I48:L48)</f>
        <v>15378.125</v>
      </c>
      <c r="I48" s="167">
        <f>'8. General Start Up Cost'!$F$28</f>
        <v>0</v>
      </c>
      <c r="J48" s="44">
        <f>D48</f>
        <v>5000</v>
      </c>
      <c r="K48" s="44">
        <f>J48*(1+$H$80)</f>
        <v>5125</v>
      </c>
      <c r="L48" s="44">
        <f>K48*(1+$H$80)</f>
        <v>5253.1249999999991</v>
      </c>
    </row>
    <row r="49" spans="3:12" ht="31">
      <c r="C49" s="50" t="s">
        <v>55</v>
      </c>
      <c r="D49" s="44">
        <v>0</v>
      </c>
      <c r="E49" s="43"/>
      <c r="F49" s="43"/>
      <c r="G49" s="50" t="s">
        <v>55</v>
      </c>
      <c r="H49" s="44">
        <f t="shared" si="3"/>
        <v>0</v>
      </c>
      <c r="I49" s="42"/>
      <c r="J49" s="44">
        <f>D49</f>
        <v>0</v>
      </c>
      <c r="K49" s="44">
        <f>J49*(1+$H$80)</f>
        <v>0</v>
      </c>
      <c r="L49" s="44">
        <f>K49*(1+$H$80)</f>
        <v>0</v>
      </c>
    </row>
    <row r="50" spans="3:12">
      <c r="C50" s="50" t="s">
        <v>184</v>
      </c>
      <c r="D50" s="44"/>
      <c r="E50" s="43"/>
      <c r="F50" s="43"/>
      <c r="G50" s="50"/>
      <c r="H50" s="44"/>
      <c r="I50" s="42"/>
      <c r="J50" s="44"/>
      <c r="K50" s="44"/>
      <c r="L50" s="44"/>
    </row>
    <row r="51" spans="3:12" ht="31">
      <c r="C51" s="221" t="s">
        <v>342</v>
      </c>
      <c r="D51" s="42">
        <f>D52*D53*D54*365</f>
        <v>11406.25</v>
      </c>
      <c r="E51" s="133" t="s">
        <v>46</v>
      </c>
      <c r="F51" s="133"/>
      <c r="G51" s="41" t="s">
        <v>56</v>
      </c>
      <c r="H51" s="42">
        <f>SUM(I51:L51)</f>
        <v>34218.75</v>
      </c>
      <c r="I51" s="42"/>
      <c r="J51" s="42">
        <f>D51</f>
        <v>11406.25</v>
      </c>
      <c r="K51" s="42">
        <f>K52*K53*365*K54</f>
        <v>11406.25</v>
      </c>
      <c r="L51" s="42">
        <f>L52*L53*365*L54</f>
        <v>11406.25</v>
      </c>
    </row>
    <row r="52" spans="3:12">
      <c r="C52" s="103" t="s">
        <v>57</v>
      </c>
      <c r="D52" s="100">
        <f>'3. Basic Input &amp; Assumptions'!H17</f>
        <v>0.625</v>
      </c>
      <c r="E52" s="133" t="s">
        <v>412</v>
      </c>
      <c r="F52" s="133"/>
      <c r="G52" s="105" t="s">
        <v>57</v>
      </c>
      <c r="H52" s="52">
        <f>'3. Basic Input &amp; Assumptions'!$H$17</f>
        <v>0.625</v>
      </c>
      <c r="I52" s="169"/>
      <c r="J52" s="100">
        <f>'3. Basic Input &amp; Assumptions'!H17</f>
        <v>0.625</v>
      </c>
      <c r="K52" s="100">
        <f>'3. Basic Input &amp; Assumptions'!H17</f>
        <v>0.625</v>
      </c>
      <c r="L52" s="52">
        <f>'3. Basic Input &amp; Assumptions'!H17</f>
        <v>0.625</v>
      </c>
    </row>
    <row r="53" spans="3:12" ht="28" customHeight="1">
      <c r="C53" s="104" t="s">
        <v>59</v>
      </c>
      <c r="D53" s="53">
        <f>'3. Basic Input &amp; Assumptions'!H15</f>
        <v>20</v>
      </c>
      <c r="E53" s="54"/>
      <c r="F53" s="54"/>
      <c r="G53" s="105" t="s">
        <v>59</v>
      </c>
      <c r="H53" s="53">
        <f>'3. Basic Input &amp; Assumptions'!$H$15</f>
        <v>20</v>
      </c>
      <c r="I53" s="170"/>
      <c r="J53" s="53">
        <f>'3. Basic Input &amp; Assumptions'!H15</f>
        <v>20</v>
      </c>
      <c r="K53" s="53">
        <f>'3. Basic Input &amp; Assumptions'!H15</f>
        <v>20</v>
      </c>
      <c r="L53" s="53">
        <f>'3. Basic Input &amp; Assumptions'!H15</f>
        <v>20</v>
      </c>
    </row>
    <row r="54" spans="3:12" ht="31">
      <c r="C54" s="104" t="s">
        <v>60</v>
      </c>
      <c r="D54" s="53">
        <f>SUM(D24:D26)</f>
        <v>2.5</v>
      </c>
      <c r="E54" s="77"/>
      <c r="F54" s="77"/>
      <c r="G54" s="105" t="s">
        <v>60</v>
      </c>
      <c r="H54" s="53">
        <f>AVERAGE(I54:L54)</f>
        <v>2.5</v>
      </c>
      <c r="I54" s="170"/>
      <c r="J54" s="53">
        <f t="shared" ref="J54:J62" si="4">D54</f>
        <v>2.5</v>
      </c>
      <c r="K54" s="53">
        <f>J54</f>
        <v>2.5</v>
      </c>
      <c r="L54" s="53">
        <f>K54</f>
        <v>2.5</v>
      </c>
    </row>
    <row r="55" spans="3:12">
      <c r="C55" s="50" t="s">
        <v>61</v>
      </c>
      <c r="D55" s="44">
        <v>0</v>
      </c>
      <c r="E55" s="78"/>
      <c r="F55" s="78"/>
      <c r="G55" s="50" t="s">
        <v>61</v>
      </c>
      <c r="H55" s="44">
        <f t="shared" ref="H55:H62" si="5">SUM(I55:L55)</f>
        <v>0</v>
      </c>
      <c r="I55" s="167">
        <f>'8. General Start Up Cost'!$F$29</f>
        <v>0</v>
      </c>
      <c r="J55" s="44">
        <f t="shared" si="4"/>
        <v>0</v>
      </c>
      <c r="K55" s="44">
        <f t="shared" ref="K55:L62" si="6">J55*(1+$H$80)</f>
        <v>0</v>
      </c>
      <c r="L55" s="44">
        <f t="shared" si="6"/>
        <v>0</v>
      </c>
    </row>
    <row r="56" spans="3:12">
      <c r="C56" s="50" t="s">
        <v>62</v>
      </c>
      <c r="D56" s="44">
        <v>0</v>
      </c>
      <c r="E56" s="43"/>
      <c r="F56" s="43"/>
      <c r="G56" s="50" t="s">
        <v>62</v>
      </c>
      <c r="H56" s="44">
        <f t="shared" si="5"/>
        <v>0</v>
      </c>
      <c r="I56" s="167">
        <f>'8. General Start Up Cost'!$F$30</f>
        <v>0</v>
      </c>
      <c r="J56" s="44">
        <f t="shared" si="4"/>
        <v>0</v>
      </c>
      <c r="K56" s="44">
        <f t="shared" si="6"/>
        <v>0</v>
      </c>
      <c r="L56" s="44">
        <f t="shared" si="6"/>
        <v>0</v>
      </c>
    </row>
    <row r="57" spans="3:12" ht="31">
      <c r="C57" s="50" t="s">
        <v>63</v>
      </c>
      <c r="D57" s="44">
        <v>0</v>
      </c>
      <c r="E57" s="43"/>
      <c r="F57" s="43"/>
      <c r="G57" s="50" t="s">
        <v>63</v>
      </c>
      <c r="H57" s="44">
        <f t="shared" si="5"/>
        <v>0</v>
      </c>
      <c r="I57" s="42"/>
      <c r="J57" s="44">
        <f t="shared" si="4"/>
        <v>0</v>
      </c>
      <c r="K57" s="44">
        <f t="shared" si="6"/>
        <v>0</v>
      </c>
      <c r="L57" s="44">
        <f t="shared" si="6"/>
        <v>0</v>
      </c>
    </row>
    <row r="58" spans="3:12">
      <c r="C58" s="50" t="s">
        <v>64</v>
      </c>
      <c r="D58" s="44">
        <v>0</v>
      </c>
      <c r="E58" s="43"/>
      <c r="F58" s="43"/>
      <c r="G58" s="50" t="s">
        <v>64</v>
      </c>
      <c r="H58" s="44">
        <f t="shared" si="5"/>
        <v>0</v>
      </c>
      <c r="I58" s="42"/>
      <c r="J58" s="44">
        <f t="shared" si="4"/>
        <v>0</v>
      </c>
      <c r="K58" s="44">
        <f t="shared" si="6"/>
        <v>0</v>
      </c>
      <c r="L58" s="44">
        <f t="shared" si="6"/>
        <v>0</v>
      </c>
    </row>
    <row r="59" spans="3:12">
      <c r="C59" s="50" t="s">
        <v>65</v>
      </c>
      <c r="D59" s="44">
        <v>0</v>
      </c>
      <c r="E59" s="43"/>
      <c r="F59" s="43"/>
      <c r="G59" s="50" t="s">
        <v>65</v>
      </c>
      <c r="H59" s="44">
        <f t="shared" si="5"/>
        <v>0</v>
      </c>
      <c r="I59" s="167">
        <f>'8. General Start Up Cost'!$F$31</f>
        <v>0</v>
      </c>
      <c r="J59" s="44">
        <f t="shared" si="4"/>
        <v>0</v>
      </c>
      <c r="K59" s="44">
        <f t="shared" si="6"/>
        <v>0</v>
      </c>
      <c r="L59" s="44">
        <f t="shared" si="6"/>
        <v>0</v>
      </c>
    </row>
    <row r="60" spans="3:12" ht="62">
      <c r="C60" s="50" t="s">
        <v>179</v>
      </c>
      <c r="D60" s="44">
        <v>0</v>
      </c>
      <c r="E60" s="43"/>
      <c r="F60" s="43"/>
      <c r="G60" s="50" t="s">
        <v>66</v>
      </c>
      <c r="H60" s="44">
        <f t="shared" si="5"/>
        <v>4300</v>
      </c>
      <c r="I60" s="167">
        <f>SUM('8. General Start Up Cost'!$F$33:$F$42)</f>
        <v>4300</v>
      </c>
      <c r="J60" s="44">
        <f t="shared" si="4"/>
        <v>0</v>
      </c>
      <c r="K60" s="44">
        <f t="shared" si="6"/>
        <v>0</v>
      </c>
      <c r="L60" s="44">
        <f t="shared" si="6"/>
        <v>0</v>
      </c>
    </row>
    <row r="61" spans="3:12" ht="93">
      <c r="C61" s="50" t="s">
        <v>67</v>
      </c>
      <c r="D61" s="44">
        <v>0</v>
      </c>
      <c r="E61" s="43"/>
      <c r="F61" s="43"/>
      <c r="G61" s="50" t="s">
        <v>67</v>
      </c>
      <c r="H61" s="44">
        <f t="shared" si="5"/>
        <v>1500</v>
      </c>
      <c r="I61" s="167">
        <f>'8. General Start Up Cost'!$F$45</f>
        <v>1500</v>
      </c>
      <c r="J61" s="44">
        <f t="shared" si="4"/>
        <v>0</v>
      </c>
      <c r="K61" s="44">
        <f t="shared" si="6"/>
        <v>0</v>
      </c>
      <c r="L61" s="44">
        <f t="shared" si="6"/>
        <v>0</v>
      </c>
    </row>
    <row r="62" spans="3:12" ht="49.5" customHeight="1">
      <c r="C62" s="50" t="s">
        <v>420</v>
      </c>
      <c r="D62" s="44">
        <v>0</v>
      </c>
      <c r="E62" s="43"/>
      <c r="F62" s="43"/>
      <c r="G62" s="50" t="s">
        <v>420</v>
      </c>
      <c r="H62" s="44">
        <f t="shared" si="5"/>
        <v>36400</v>
      </c>
      <c r="I62" s="167">
        <f>SUM('8. General Start Up Cost'!$F$46:$F$49)</f>
        <v>36400</v>
      </c>
      <c r="J62" s="44">
        <f t="shared" si="4"/>
        <v>0</v>
      </c>
      <c r="K62" s="44">
        <f t="shared" si="6"/>
        <v>0</v>
      </c>
      <c r="L62" s="44">
        <f t="shared" si="6"/>
        <v>0</v>
      </c>
    </row>
    <row r="63" spans="3:12" ht="35.5" customHeight="1">
      <c r="C63" s="57" t="s">
        <v>72</v>
      </c>
      <c r="D63" s="39">
        <f>SUM(D42:D62)</f>
        <v>218029.375</v>
      </c>
      <c r="E63" s="43"/>
      <c r="F63" s="43"/>
      <c r="G63" s="57" t="s">
        <v>72</v>
      </c>
      <c r="H63" s="39">
        <f>SUM(I63:L63)</f>
        <v>722912.25</v>
      </c>
      <c r="I63" s="171">
        <f>SUM(I42:I62)</f>
        <v>53200</v>
      </c>
      <c r="J63" s="39">
        <f>SUM(J42:J62)</f>
        <v>218029.375</v>
      </c>
      <c r="K63" s="39">
        <f>SUM(K42:K62)</f>
        <v>223194.375</v>
      </c>
      <c r="L63" s="39">
        <f>SUM(L42:L62)</f>
        <v>228488.49999999997</v>
      </c>
    </row>
    <row r="64" spans="3:12">
      <c r="C64" s="49"/>
      <c r="D64" s="42"/>
      <c r="E64" s="43"/>
      <c r="F64" s="43"/>
      <c r="G64" s="49"/>
      <c r="H64" s="42"/>
      <c r="I64" s="42"/>
      <c r="J64" s="42"/>
      <c r="K64" s="42"/>
      <c r="L64" s="42"/>
    </row>
    <row r="65" spans="3:12">
      <c r="C65" s="107" t="s">
        <v>73</v>
      </c>
      <c r="D65" s="42">
        <f>D39+D63</f>
        <v>606011.77500000002</v>
      </c>
      <c r="E65" s="43"/>
      <c r="F65" s="43"/>
      <c r="G65" s="107" t="s">
        <v>73</v>
      </c>
      <c r="H65" s="42">
        <f>SUM(I65:L65)</f>
        <v>1920700.6189999999</v>
      </c>
      <c r="I65" s="167">
        <f>SUM(I39,I63)</f>
        <v>57700</v>
      </c>
      <c r="J65" s="42">
        <f>J39+J63</f>
        <v>606011.77500000002</v>
      </c>
      <c r="K65" s="42">
        <f>K39+K63</f>
        <v>620876.33499999996</v>
      </c>
      <c r="L65" s="42">
        <f>L39+L63</f>
        <v>636112.50899999996</v>
      </c>
    </row>
    <row r="66" spans="3:12" ht="44" customHeight="1">
      <c r="C66" s="108" t="s">
        <v>74</v>
      </c>
      <c r="D66" s="58">
        <f>D65*('3. Basic Input &amp; Assumptions'!H14)</f>
        <v>90901.766250000001</v>
      </c>
      <c r="E66" s="43"/>
      <c r="F66" s="43"/>
      <c r="G66" s="108" t="s">
        <v>74</v>
      </c>
      <c r="H66" s="58">
        <f>SUM(I66:L66)</f>
        <v>288105.09284999996</v>
      </c>
      <c r="I66" s="168">
        <f>I65*'3. Basic Input &amp; Assumptions'!$H$14</f>
        <v>8655</v>
      </c>
      <c r="J66" s="58">
        <f>J65*('3. Basic Input &amp; Assumptions'!$H$14)</f>
        <v>90901.766250000001</v>
      </c>
      <c r="K66" s="58">
        <f>K65*('3. Basic Input &amp; Assumptions'!$H$14)</f>
        <v>93131.450249999994</v>
      </c>
      <c r="L66" s="58">
        <f>L65*('3. Basic Input &amp; Assumptions'!H14)</f>
        <v>95416.876349999991</v>
      </c>
    </row>
    <row r="67" spans="3:12" ht="33.5" customHeight="1">
      <c r="C67" s="106" t="s">
        <v>136</v>
      </c>
      <c r="D67" s="39">
        <f>D65+D66</f>
        <v>696913.54125000001</v>
      </c>
      <c r="E67" s="43"/>
      <c r="F67" s="43"/>
      <c r="G67" s="106" t="s">
        <v>136</v>
      </c>
      <c r="H67" s="39">
        <f>SUM(I67:L67)</f>
        <v>2208805.7118500001</v>
      </c>
      <c r="I67" s="171">
        <f>SUM(I65:I66)</f>
        <v>66355</v>
      </c>
      <c r="J67" s="39">
        <f>J65+J66</f>
        <v>696913.54125000001</v>
      </c>
      <c r="K67" s="39">
        <f>K65+K66</f>
        <v>714007.78524999996</v>
      </c>
      <c r="L67" s="39">
        <f>L65+L66</f>
        <v>731529.38535</v>
      </c>
    </row>
    <row r="68" spans="3:12">
      <c r="C68" s="59"/>
      <c r="D68" s="42"/>
      <c r="E68" s="43"/>
      <c r="F68" s="43"/>
      <c r="G68" s="59"/>
      <c r="H68" s="42"/>
      <c r="I68" s="42"/>
      <c r="J68" s="42"/>
      <c r="K68" s="42"/>
      <c r="L68" s="42"/>
    </row>
    <row r="69" spans="3:12">
      <c r="C69" s="107" t="s">
        <v>137</v>
      </c>
      <c r="D69" s="42"/>
      <c r="E69" s="40"/>
      <c r="F69" s="40"/>
      <c r="G69" s="107" t="s">
        <v>137</v>
      </c>
      <c r="H69" s="42"/>
      <c r="I69" s="42"/>
      <c r="J69" s="42"/>
      <c r="K69" s="42"/>
      <c r="L69" s="42"/>
    </row>
    <row r="70" spans="3:12" ht="31">
      <c r="C70" s="50" t="s">
        <v>75</v>
      </c>
      <c r="D70" s="258">
        <f>H24+H25+H26+H27+H28</f>
        <v>6400</v>
      </c>
      <c r="E70" s="40"/>
      <c r="F70" s="40"/>
      <c r="G70" s="50" t="s">
        <v>75</v>
      </c>
      <c r="H70" s="44">
        <f t="shared" ref="H70:H76" si="7">SUM(I70:L70)</f>
        <v>19200</v>
      </c>
      <c r="I70" s="167">
        <v>0</v>
      </c>
      <c r="J70" s="44">
        <f t="shared" ref="J70:J76" si="8">D70</f>
        <v>6400</v>
      </c>
      <c r="K70" s="44">
        <f>J70</f>
        <v>6400</v>
      </c>
      <c r="L70" s="44">
        <f>K70</f>
        <v>6400</v>
      </c>
    </row>
    <row r="71" spans="3:12">
      <c r="C71" s="50" t="s">
        <v>358</v>
      </c>
      <c r="D71" s="44">
        <v>0</v>
      </c>
      <c r="E71" s="40"/>
      <c r="F71" s="40"/>
      <c r="G71" s="50" t="s">
        <v>358</v>
      </c>
      <c r="H71" s="44">
        <f t="shared" si="7"/>
        <v>0</v>
      </c>
      <c r="I71" s="167">
        <v>0</v>
      </c>
      <c r="J71" s="44">
        <f t="shared" si="8"/>
        <v>0</v>
      </c>
      <c r="K71" s="44">
        <f t="shared" ref="K71:L75" si="9">J71</f>
        <v>0</v>
      </c>
      <c r="L71" s="44">
        <f t="shared" si="9"/>
        <v>0</v>
      </c>
    </row>
    <row r="72" spans="3:12">
      <c r="C72" s="50" t="s">
        <v>77</v>
      </c>
      <c r="D72" s="44">
        <v>0</v>
      </c>
      <c r="E72" s="40"/>
      <c r="F72" s="40"/>
      <c r="G72" s="50" t="s">
        <v>77</v>
      </c>
      <c r="H72" s="44">
        <f t="shared" si="7"/>
        <v>0</v>
      </c>
      <c r="I72" s="167">
        <v>0</v>
      </c>
      <c r="J72" s="44">
        <f t="shared" si="8"/>
        <v>0</v>
      </c>
      <c r="K72" s="44">
        <f t="shared" si="9"/>
        <v>0</v>
      </c>
      <c r="L72" s="44">
        <f t="shared" si="9"/>
        <v>0</v>
      </c>
    </row>
    <row r="73" spans="3:12">
      <c r="C73" s="50" t="s">
        <v>203</v>
      </c>
      <c r="D73" s="44">
        <v>0</v>
      </c>
      <c r="E73" s="40"/>
      <c r="F73" s="40"/>
      <c r="G73" s="50" t="s">
        <v>203</v>
      </c>
      <c r="H73" s="44">
        <f t="shared" si="7"/>
        <v>0</v>
      </c>
      <c r="I73" s="167">
        <v>0</v>
      </c>
      <c r="J73" s="44">
        <f t="shared" si="8"/>
        <v>0</v>
      </c>
      <c r="K73" s="44">
        <f t="shared" si="9"/>
        <v>0</v>
      </c>
      <c r="L73" s="44">
        <f t="shared" si="9"/>
        <v>0</v>
      </c>
    </row>
    <row r="74" spans="3:12">
      <c r="C74" s="50" t="s">
        <v>76</v>
      </c>
      <c r="D74" s="44">
        <v>0</v>
      </c>
      <c r="E74" s="40"/>
      <c r="F74" s="40"/>
      <c r="G74" s="50" t="s">
        <v>76</v>
      </c>
      <c r="H74" s="44">
        <f t="shared" si="7"/>
        <v>0</v>
      </c>
      <c r="I74" s="167">
        <v>0</v>
      </c>
      <c r="J74" s="44">
        <f t="shared" si="8"/>
        <v>0</v>
      </c>
      <c r="K74" s="44">
        <f t="shared" si="9"/>
        <v>0</v>
      </c>
      <c r="L74" s="44">
        <f t="shared" si="9"/>
        <v>0</v>
      </c>
    </row>
    <row r="75" spans="3:12">
      <c r="C75" s="55" t="s">
        <v>78</v>
      </c>
      <c r="D75" s="45">
        <v>0</v>
      </c>
      <c r="E75" s="40"/>
      <c r="F75" s="40"/>
      <c r="G75" s="55" t="s">
        <v>78</v>
      </c>
      <c r="H75" s="44">
        <f t="shared" si="7"/>
        <v>0</v>
      </c>
      <c r="I75" s="168">
        <v>0</v>
      </c>
      <c r="J75" s="45">
        <f t="shared" si="8"/>
        <v>0</v>
      </c>
      <c r="K75" s="45">
        <f t="shared" si="9"/>
        <v>0</v>
      </c>
      <c r="L75" s="45">
        <f t="shared" si="9"/>
        <v>0</v>
      </c>
    </row>
    <row r="76" spans="3:12">
      <c r="C76" s="178" t="s">
        <v>86</v>
      </c>
      <c r="D76" s="39">
        <f>SUM(D70:D75)</f>
        <v>6400</v>
      </c>
      <c r="E76" s="40"/>
      <c r="F76" s="40"/>
      <c r="G76" s="178" t="s">
        <v>86</v>
      </c>
      <c r="H76" s="39">
        <f t="shared" si="7"/>
        <v>19200</v>
      </c>
      <c r="I76" s="171">
        <v>0</v>
      </c>
      <c r="J76" s="39">
        <f t="shared" si="8"/>
        <v>6400</v>
      </c>
      <c r="K76" s="39">
        <f>SUM(K70:K75)</f>
        <v>6400</v>
      </c>
      <c r="L76" s="39">
        <f>SUM(L70:L75)</f>
        <v>6400</v>
      </c>
    </row>
    <row r="77" spans="3:12">
      <c r="C77" s="63"/>
      <c r="D77" s="62"/>
      <c r="E77" s="40"/>
      <c r="F77" s="40"/>
      <c r="G77" s="63"/>
      <c r="H77" s="62"/>
      <c r="I77" s="62"/>
      <c r="J77" s="62"/>
      <c r="K77" s="62"/>
      <c r="L77" s="62"/>
    </row>
    <row r="78" spans="3:12">
      <c r="C78" s="109" t="s">
        <v>138</v>
      </c>
      <c r="D78" s="64">
        <f>D76-D67</f>
        <v>-690513.54125000001</v>
      </c>
      <c r="E78" s="40"/>
      <c r="F78" s="40"/>
      <c r="G78" s="109" t="s">
        <v>138</v>
      </c>
      <c r="H78" s="64">
        <f>SUM(I78:L78)</f>
        <v>-2189605.7118500001</v>
      </c>
      <c r="I78" s="64">
        <f>I76-I67</f>
        <v>-66355</v>
      </c>
      <c r="J78" s="64">
        <f>J76-J67</f>
        <v>-690513.54125000001</v>
      </c>
      <c r="K78" s="64">
        <f>K76-K67</f>
        <v>-707607.78524999996</v>
      </c>
      <c r="L78" s="64">
        <f>L76-L67</f>
        <v>-725129.38535</v>
      </c>
    </row>
    <row r="80" spans="3:12" ht="37" customHeight="1">
      <c r="G80" s="75" t="s">
        <v>80</v>
      </c>
      <c r="H80" s="65">
        <f>'3. Basic Input &amp; Assumptions'!H18</f>
        <v>2.5000000000000001E-2</v>
      </c>
      <c r="I80" s="65"/>
    </row>
  </sheetData>
  <sheetProtection selectLockedCells="1"/>
  <mergeCells count="18">
    <mergeCell ref="F24:F28"/>
    <mergeCell ref="E36:E37"/>
    <mergeCell ref="E1:J1"/>
    <mergeCell ref="C6:H6"/>
    <mergeCell ref="C32:D32"/>
    <mergeCell ref="C30:D30"/>
    <mergeCell ref="G31:L31"/>
    <mergeCell ref="C15:H15"/>
    <mergeCell ref="F21:F23"/>
    <mergeCell ref="C16:I17"/>
    <mergeCell ref="C10:H11"/>
    <mergeCell ref="C9:D9"/>
    <mergeCell ref="C19:I19"/>
    <mergeCell ref="C7:D7"/>
    <mergeCell ref="D21:D23"/>
    <mergeCell ref="E21:E23"/>
    <mergeCell ref="G21:G23"/>
    <mergeCell ref="H21:H23"/>
  </mergeCells>
  <conditionalFormatting sqref="G24">
    <cfRule type="expression" dxfId="12" priority="1">
      <formula>$F$24="No"</formula>
    </cfRule>
  </conditionalFormatting>
  <conditionalFormatting sqref="G21:H29">
    <cfRule type="expression" dxfId="11" priority="2">
      <formula>$F$24="No"</formula>
    </cfRule>
  </conditionalFormatting>
  <dataValidations count="3">
    <dataValidation type="whole" allowBlank="1" showInputMessage="1" showErrorMessage="1" sqref="D13 G13" xr:uid="{00000000-0002-0000-0300-000000000000}">
      <formula1>0</formula1>
      <formula2>100000</formula2>
    </dataValidation>
    <dataValidation allowBlank="1" showDropDown="1" showInputMessage="1" showErrorMessage="1" sqref="C13" xr:uid="{00000000-0002-0000-0300-000001000000}"/>
    <dataValidation type="list" allowBlank="1" showInputMessage="1" showErrorMessage="1" sqref="F24" xr:uid="{00000000-0002-0000-0300-000002000000}">
      <formula1>"Yes, No"</formula1>
    </dataValidation>
  </dataValidations>
  <hyperlinks>
    <hyperlink ref="C8" r:id="rId1" xr:uid="{D72E3371-7F98-4B30-ADA0-E6FFD7A8BCE1}"/>
  </hyperlinks>
  <pageMargins left="0.7" right="0.7" top="0.75" bottom="0.75" header="0.3" footer="0.3"/>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V80"/>
  <sheetViews>
    <sheetView showGridLines="0" topLeftCell="B1" zoomScale="75" zoomScaleNormal="75" workbookViewId="0">
      <selection activeCell="B8" sqref="A8:XFD8"/>
    </sheetView>
  </sheetViews>
  <sheetFormatPr defaultColWidth="9.1796875" defaultRowHeight="15.5"/>
  <cols>
    <col min="1" max="1" width="2.81640625" style="4" hidden="1" customWidth="1"/>
    <col min="2" max="2" width="8.984375E-2" style="4" customWidth="1"/>
    <col min="3" max="3" width="40" style="4" customWidth="1"/>
    <col min="4" max="4" width="25.453125" style="4" customWidth="1"/>
    <col min="5" max="5" width="32.453125" style="4" customWidth="1"/>
    <col min="6" max="6" width="39.453125" style="10" customWidth="1"/>
    <col min="7" max="7" width="28.36328125" style="8" customWidth="1"/>
    <col min="8" max="9" width="25.453125" style="8" customWidth="1"/>
    <col min="10" max="11" width="25.36328125" style="4" customWidth="1"/>
    <col min="12" max="12" width="25.1796875" style="4" customWidth="1"/>
    <col min="13" max="13" width="9.1796875" style="4" customWidth="1"/>
    <col min="14" max="14" width="24.36328125" style="4" customWidth="1"/>
    <col min="15" max="15" width="21.6328125" style="4" customWidth="1"/>
    <col min="16" max="16" width="17" style="4" customWidth="1"/>
    <col min="17" max="17" width="19.6328125" style="4" customWidth="1"/>
    <col min="18" max="16384" width="9.1796875" style="4"/>
  </cols>
  <sheetData>
    <row r="1" spans="2:21" ht="87.5" customHeight="1">
      <c r="D1" s="348"/>
      <c r="E1" s="348"/>
      <c r="F1" s="348"/>
      <c r="G1" s="348"/>
      <c r="H1" s="348"/>
      <c r="I1" s="348"/>
    </row>
    <row r="2" spans="2:21" s="3" customFormat="1">
      <c r="B2" s="1"/>
      <c r="C2" s="2"/>
      <c r="D2" s="2"/>
    </row>
    <row r="3" spans="2:21" ht="21">
      <c r="C3" s="300" t="s">
        <v>187</v>
      </c>
      <c r="D3" s="6"/>
      <c r="E3" s="6"/>
      <c r="F3" s="7"/>
    </row>
    <row r="4" spans="2:21">
      <c r="C4" s="226" t="s">
        <v>212</v>
      </c>
    </row>
    <row r="5" spans="2:21">
      <c r="C5" s="9" t="s">
        <v>188</v>
      </c>
    </row>
    <row r="6" spans="2:21" ht="136.5" customHeight="1">
      <c r="C6" s="349" t="s">
        <v>348</v>
      </c>
      <c r="D6" s="350"/>
      <c r="E6" s="350"/>
      <c r="F6" s="350"/>
      <c r="G6" s="350"/>
      <c r="H6" s="220"/>
      <c r="I6" s="151"/>
    </row>
    <row r="7" spans="2:21" ht="112" customHeight="1">
      <c r="C7" s="358" t="s">
        <v>359</v>
      </c>
      <c r="D7" s="358"/>
      <c r="E7" s="358" t="s">
        <v>380</v>
      </c>
      <c r="F7" s="358"/>
      <c r="G7" s="166"/>
      <c r="H7" s="220"/>
      <c r="I7" s="151"/>
    </row>
    <row r="8" spans="2:21" s="395" customFormat="1" ht="30.5" customHeight="1">
      <c r="C8" s="396" t="s">
        <v>424</v>
      </c>
    </row>
    <row r="9" spans="2:21" ht="23.5">
      <c r="C9" s="359" t="s">
        <v>211</v>
      </c>
      <c r="D9" s="359"/>
      <c r="E9" s="164"/>
      <c r="F9" s="164"/>
      <c r="G9" s="164"/>
      <c r="H9" s="220"/>
      <c r="I9" s="151"/>
    </row>
    <row r="10" spans="2:21" ht="15.5" customHeight="1">
      <c r="C10" s="374" t="s">
        <v>213</v>
      </c>
      <c r="D10" s="374"/>
      <c r="E10" s="374"/>
      <c r="F10" s="374"/>
      <c r="G10" s="374"/>
      <c r="H10" s="374"/>
      <c r="N10" s="11"/>
    </row>
    <row r="11" spans="2:21">
      <c r="C11" s="374"/>
      <c r="D11" s="374"/>
      <c r="E11" s="374"/>
      <c r="F11" s="374"/>
      <c r="G11" s="374"/>
      <c r="H11" s="374"/>
    </row>
    <row r="12" spans="2:21" ht="18.75" customHeight="1">
      <c r="C12" s="12"/>
      <c r="D12" s="12" t="s">
        <v>209</v>
      </c>
      <c r="E12" s="230"/>
      <c r="F12" s="212"/>
      <c r="G12" s="13"/>
      <c r="H12" s="13"/>
      <c r="I12" s="13"/>
      <c r="J12" s="14" t="s">
        <v>18</v>
      </c>
    </row>
    <row r="13" spans="2:21" ht="18.75" customHeight="1">
      <c r="B13" s="15"/>
      <c r="C13" s="289" t="s">
        <v>195</v>
      </c>
      <c r="D13" s="17">
        <v>17</v>
      </c>
      <c r="E13" s="288"/>
      <c r="F13" s="36"/>
      <c r="G13" s="177"/>
      <c r="H13" s="177"/>
      <c r="I13" s="177"/>
      <c r="J13" s="18"/>
    </row>
    <row r="14" spans="2:21">
      <c r="C14" s="11"/>
    </row>
    <row r="15" spans="2:21" ht="35.5" customHeight="1">
      <c r="C15" s="350" t="s">
        <v>200</v>
      </c>
      <c r="D15" s="350"/>
      <c r="E15" s="350"/>
      <c r="F15" s="350"/>
      <c r="G15" s="350"/>
      <c r="N15" s="11"/>
      <c r="R15" s="9"/>
      <c r="S15" s="9"/>
      <c r="T15" s="9"/>
      <c r="U15" s="9"/>
    </row>
    <row r="16" spans="2:21">
      <c r="C16" s="375" t="s">
        <v>229</v>
      </c>
      <c r="D16" s="375"/>
      <c r="E16" s="375"/>
      <c r="F16" s="375"/>
      <c r="G16" s="375"/>
      <c r="H16" s="165"/>
      <c r="I16" s="165"/>
    </row>
    <row r="17" spans="3:22">
      <c r="C17" s="239"/>
      <c r="D17" s="239"/>
      <c r="E17" s="239"/>
      <c r="F17" s="369" t="s">
        <v>322</v>
      </c>
      <c r="G17" s="368" t="s">
        <v>327</v>
      </c>
      <c r="H17" s="371" t="s">
        <v>325</v>
      </c>
      <c r="I17" s="4"/>
    </row>
    <row r="18" spans="3:22" ht="15.5" customHeight="1">
      <c r="F18" s="369"/>
      <c r="G18" s="368"/>
      <c r="H18" s="372"/>
      <c r="I18" s="4"/>
      <c r="M18" s="11"/>
    </row>
    <row r="19" spans="3:22" ht="82.5" customHeight="1">
      <c r="D19" s="271" t="s">
        <v>208</v>
      </c>
      <c r="E19" s="271" t="s">
        <v>20</v>
      </c>
      <c r="F19" s="370"/>
      <c r="G19" s="368"/>
      <c r="H19" s="373"/>
      <c r="I19" s="4"/>
      <c r="J19" s="21"/>
    </row>
    <row r="20" spans="3:22">
      <c r="C20" s="22" t="s">
        <v>21</v>
      </c>
      <c r="D20" s="250">
        <v>0.5</v>
      </c>
      <c r="E20" s="24">
        <v>90000</v>
      </c>
      <c r="F20" s="367" t="s">
        <v>10</v>
      </c>
      <c r="G20" s="259">
        <v>0</v>
      </c>
      <c r="H20" s="287">
        <f>G20*E20</f>
        <v>0</v>
      </c>
      <c r="I20" s="269"/>
    </row>
    <row r="21" spans="3:22">
      <c r="C21" s="22" t="s">
        <v>197</v>
      </c>
      <c r="D21" s="250">
        <v>1</v>
      </c>
      <c r="E21" s="24">
        <v>80000</v>
      </c>
      <c r="F21" s="367"/>
      <c r="G21" s="259">
        <v>0</v>
      </c>
      <c r="H21" s="287">
        <f t="shared" ref="H21:H25" si="0">G21*E21</f>
        <v>0</v>
      </c>
      <c r="I21" s="269"/>
    </row>
    <row r="22" spans="3:22">
      <c r="C22" s="25" t="s">
        <v>198</v>
      </c>
      <c r="D22" s="250">
        <v>1</v>
      </c>
      <c r="E22" s="24">
        <v>64000</v>
      </c>
      <c r="F22" s="367"/>
      <c r="G22" s="260">
        <v>0</v>
      </c>
      <c r="H22" s="287">
        <f t="shared" si="0"/>
        <v>0</v>
      </c>
      <c r="I22" s="151"/>
      <c r="K22" s="26"/>
      <c r="L22" s="26"/>
    </row>
    <row r="23" spans="3:22">
      <c r="C23" s="22" t="s">
        <v>199</v>
      </c>
      <c r="D23" s="250">
        <v>1</v>
      </c>
      <c r="E23" s="24">
        <v>55000</v>
      </c>
      <c r="F23" s="367"/>
      <c r="G23" s="260">
        <v>0</v>
      </c>
      <c r="H23" s="287">
        <f t="shared" si="0"/>
        <v>0</v>
      </c>
      <c r="I23" s="151"/>
    </row>
    <row r="24" spans="3:22" ht="31">
      <c r="C24" s="25" t="s">
        <v>206</v>
      </c>
      <c r="D24" s="250">
        <v>3</v>
      </c>
      <c r="E24" s="24">
        <v>45000</v>
      </c>
      <c r="F24" s="367"/>
      <c r="G24" s="257">
        <v>0</v>
      </c>
      <c r="H24" s="287">
        <f t="shared" si="0"/>
        <v>0</v>
      </c>
      <c r="I24" s="27"/>
    </row>
    <row r="25" spans="3:22">
      <c r="C25" s="25" t="s">
        <v>201</v>
      </c>
      <c r="D25" s="255"/>
      <c r="E25" s="24"/>
      <c r="F25" s="367"/>
      <c r="G25" s="257">
        <v>0</v>
      </c>
      <c r="H25" s="287">
        <f t="shared" si="0"/>
        <v>0</v>
      </c>
      <c r="I25" s="27"/>
    </row>
    <row r="26" spans="3:22" ht="14" customHeight="1">
      <c r="C26" s="12"/>
      <c r="D26" s="116"/>
      <c r="E26" s="117"/>
      <c r="F26" s="118"/>
      <c r="G26" s="270" t="s">
        <v>332</v>
      </c>
      <c r="H26" s="273">
        <f>SUM(H20:H25)</f>
        <v>0</v>
      </c>
      <c r="I26" s="299"/>
      <c r="J26" s="118"/>
    </row>
    <row r="27" spans="3:22" ht="35.5" customHeight="1">
      <c r="C27" s="350" t="s">
        <v>336</v>
      </c>
      <c r="D27" s="350"/>
      <c r="E27" s="350"/>
      <c r="F27" s="350"/>
      <c r="G27" s="350"/>
      <c r="H27" s="350"/>
      <c r="N27" s="11"/>
      <c r="R27" s="9"/>
      <c r="S27" s="9"/>
      <c r="T27" s="9"/>
      <c r="U27" s="9"/>
    </row>
    <row r="28" spans="3:22" ht="35" customHeight="1">
      <c r="C28" s="350" t="s">
        <v>326</v>
      </c>
      <c r="D28" s="350"/>
      <c r="E28" s="350"/>
      <c r="F28" s="350"/>
      <c r="G28" s="350"/>
      <c r="H28" s="350"/>
      <c r="I28" s="240"/>
      <c r="J28" s="240"/>
      <c r="O28" s="11"/>
      <c r="S28" s="9"/>
      <c r="T28" s="9"/>
      <c r="U28" s="9"/>
      <c r="V28" s="9"/>
    </row>
    <row r="29" spans="3:22">
      <c r="C29" s="10"/>
      <c r="D29" s="36"/>
    </row>
    <row r="30" spans="3:22">
      <c r="C30" s="9" t="s">
        <v>36</v>
      </c>
      <c r="F30" s="11"/>
    </row>
    <row r="31" spans="3:22">
      <c r="F31" s="354" t="s">
        <v>417</v>
      </c>
      <c r="G31" s="355"/>
      <c r="H31" s="355"/>
      <c r="I31" s="355"/>
      <c r="J31" s="355"/>
      <c r="K31" s="356"/>
      <c r="L31" s="298"/>
    </row>
    <row r="32" spans="3:22" ht="31" customHeight="1">
      <c r="C32" s="351" t="s">
        <v>413</v>
      </c>
      <c r="D32" s="352"/>
      <c r="E32" s="37"/>
      <c r="F32" s="152"/>
      <c r="G32" s="153" t="s">
        <v>16</v>
      </c>
      <c r="H32" s="153" t="s">
        <v>131</v>
      </c>
      <c r="I32" s="153" t="s">
        <v>37</v>
      </c>
      <c r="J32" s="153" t="s">
        <v>38</v>
      </c>
      <c r="K32" s="153" t="s">
        <v>39</v>
      </c>
    </row>
    <row r="33" spans="3:11">
      <c r="C33" s="111" t="s">
        <v>40</v>
      </c>
      <c r="D33" s="39"/>
      <c r="E33" s="40"/>
      <c r="F33" s="106" t="s">
        <v>40</v>
      </c>
      <c r="G33" s="39"/>
      <c r="H33" s="39"/>
      <c r="I33" s="39"/>
      <c r="J33" s="39"/>
      <c r="K33" s="39"/>
    </row>
    <row r="34" spans="3:11">
      <c r="C34" s="41" t="s">
        <v>41</v>
      </c>
      <c r="D34" s="42">
        <f>SUMPRODUCT(D20:D25,E20:E25)</f>
        <v>379000</v>
      </c>
      <c r="E34" s="43"/>
      <c r="F34" s="50" t="s">
        <v>41</v>
      </c>
      <c r="G34" s="42">
        <f t="shared" ref="G34:G39" si="1">SUM(H34:K34)</f>
        <v>1165661.875</v>
      </c>
      <c r="H34" s="42"/>
      <c r="I34" s="42">
        <f>D34</f>
        <v>379000</v>
      </c>
      <c r="J34" s="42">
        <f>I34*(1+$G$80)</f>
        <v>388474.99999999994</v>
      </c>
      <c r="K34" s="42">
        <f>J34*(1+$G$80)</f>
        <v>398186.87499999988</v>
      </c>
    </row>
    <row r="35" spans="3:11">
      <c r="C35" s="41" t="s">
        <v>42</v>
      </c>
      <c r="D35" s="42">
        <f>D34*'3. Basic Input &amp; Assumptions'!$H$20</f>
        <v>107105.40000000001</v>
      </c>
      <c r="E35" s="43"/>
      <c r="F35" s="50" t="s">
        <v>42</v>
      </c>
      <c r="G35" s="42">
        <f t="shared" si="1"/>
        <v>329416.04587499995</v>
      </c>
      <c r="H35" s="42"/>
      <c r="I35" s="42">
        <f>I34*'3. Basic Input &amp; Assumptions'!$H$20</f>
        <v>107105.40000000001</v>
      </c>
      <c r="J35" s="42">
        <f>J34*'3. Basic Input &amp; Assumptions'!$H$20</f>
        <v>109783.03499999999</v>
      </c>
      <c r="K35" s="42">
        <f>K34*'3. Basic Input &amp; Assumptions'!$H$20</f>
        <v>112527.61087499997</v>
      </c>
    </row>
    <row r="36" spans="3:11">
      <c r="C36" s="41" t="s">
        <v>43</v>
      </c>
      <c r="D36" s="44"/>
      <c r="E36" s="43"/>
      <c r="F36" s="50" t="s">
        <v>43</v>
      </c>
      <c r="G36" s="44">
        <f t="shared" si="1"/>
        <v>0</v>
      </c>
      <c r="H36" s="42"/>
      <c r="I36" s="44">
        <f>D36</f>
        <v>0</v>
      </c>
      <c r="J36" s="44">
        <f t="shared" ref="J36:K38" si="2">I36*(1+$G$80)</f>
        <v>0</v>
      </c>
      <c r="K36" s="44">
        <f t="shared" si="2"/>
        <v>0</v>
      </c>
    </row>
    <row r="37" spans="3:11">
      <c r="C37" s="41" t="s">
        <v>44</v>
      </c>
      <c r="D37" s="44"/>
      <c r="E37" s="43"/>
      <c r="F37" s="50" t="s">
        <v>44</v>
      </c>
      <c r="G37" s="44">
        <f t="shared" si="1"/>
        <v>4500</v>
      </c>
      <c r="H37" s="167">
        <f>SUM('8. General Start Up Cost'!$F$10:$F$15)</f>
        <v>4500</v>
      </c>
      <c r="I37" s="44">
        <f>D37</f>
        <v>0</v>
      </c>
      <c r="J37" s="44">
        <f t="shared" si="2"/>
        <v>0</v>
      </c>
      <c r="K37" s="44">
        <f t="shared" si="2"/>
        <v>0</v>
      </c>
    </row>
    <row r="38" spans="3:11" ht="31">
      <c r="C38" s="202" t="s">
        <v>45</v>
      </c>
      <c r="D38" s="45">
        <f>D34*('3. Basic Input &amp; Assumptions'!H19)</f>
        <v>5685</v>
      </c>
      <c r="E38" s="297" t="s">
        <v>46</v>
      </c>
      <c r="F38" s="102" t="s">
        <v>45</v>
      </c>
      <c r="G38" s="45">
        <f t="shared" si="1"/>
        <v>17484.928124999999</v>
      </c>
      <c r="H38" s="168">
        <f>SUM('8. General Start Up Cost'!$F$17:$F$20)</f>
        <v>0</v>
      </c>
      <c r="I38" s="198">
        <f>D38</f>
        <v>5685</v>
      </c>
      <c r="J38" s="45">
        <f t="shared" si="2"/>
        <v>5827.1249999999991</v>
      </c>
      <c r="K38" s="45">
        <f t="shared" si="2"/>
        <v>5972.8031249999985</v>
      </c>
    </row>
    <row r="39" spans="3:11">
      <c r="C39" s="46" t="s">
        <v>47</v>
      </c>
      <c r="D39" s="39">
        <f>SUM(D34:D38)</f>
        <v>491790.4</v>
      </c>
      <c r="E39" s="43"/>
      <c r="F39" s="47" t="s">
        <v>47</v>
      </c>
      <c r="G39" s="39">
        <f t="shared" si="1"/>
        <v>1517062.8489999997</v>
      </c>
      <c r="H39" s="39">
        <f>SUM(H34:H38)</f>
        <v>4500</v>
      </c>
      <c r="I39" s="39">
        <f>SUM(I34:I38)</f>
        <v>491790.4</v>
      </c>
      <c r="J39" s="39">
        <f>SUM(J34:J38)</f>
        <v>504085.15999999992</v>
      </c>
      <c r="K39" s="39">
        <f>SUM(K34:K38)</f>
        <v>516687.28899999982</v>
      </c>
    </row>
    <row r="40" spans="3:11">
      <c r="C40" s="48"/>
      <c r="D40" s="42"/>
      <c r="E40" s="43"/>
      <c r="F40" s="49"/>
      <c r="G40" s="42"/>
      <c r="H40" s="42"/>
      <c r="I40" s="42"/>
      <c r="J40" s="42"/>
      <c r="K40" s="42"/>
    </row>
    <row r="41" spans="3:11">
      <c r="C41" s="110" t="s">
        <v>48</v>
      </c>
      <c r="D41" s="42"/>
      <c r="E41" s="43"/>
      <c r="F41" s="107" t="s">
        <v>48</v>
      </c>
      <c r="G41" s="42"/>
      <c r="H41" s="42"/>
      <c r="I41" s="42"/>
      <c r="J41" s="42"/>
      <c r="K41" s="42"/>
    </row>
    <row r="42" spans="3:11">
      <c r="C42" s="41" t="s">
        <v>49</v>
      </c>
      <c r="D42" s="44">
        <v>70000</v>
      </c>
      <c r="E42" s="43"/>
      <c r="F42" s="50" t="s">
        <v>49</v>
      </c>
      <c r="G42" s="44">
        <f t="shared" ref="G42:G49" si="3">SUM(H42:K42)</f>
        <v>226293.75</v>
      </c>
      <c r="H42" s="167">
        <f>'8. General Start Up Cost'!$F$24</f>
        <v>11000</v>
      </c>
      <c r="I42" s="44">
        <f t="shared" ref="I42:I49" si="4">D42</f>
        <v>70000</v>
      </c>
      <c r="J42" s="44">
        <f>I42*(1+$G$80)</f>
        <v>71750</v>
      </c>
      <c r="K42" s="44">
        <f t="shared" ref="J42:K48" si="5">J42*(1+$G$80)</f>
        <v>73543.75</v>
      </c>
    </row>
    <row r="43" spans="3:11">
      <c r="C43" s="41" t="s">
        <v>50</v>
      </c>
      <c r="D43" s="44">
        <v>9500</v>
      </c>
      <c r="E43" s="43"/>
      <c r="F43" s="50" t="s">
        <v>50</v>
      </c>
      <c r="G43" s="44">
        <f t="shared" si="3"/>
        <v>29218.4375</v>
      </c>
      <c r="H43" s="167">
        <f>'8. General Start Up Cost'!$F$25</f>
        <v>0</v>
      </c>
      <c r="I43" s="44">
        <f t="shared" si="4"/>
        <v>9500</v>
      </c>
      <c r="J43" s="44">
        <f t="shared" si="5"/>
        <v>9737.5</v>
      </c>
      <c r="K43" s="44">
        <f t="shared" si="5"/>
        <v>9980.9375</v>
      </c>
    </row>
    <row r="44" spans="3:11">
      <c r="C44" s="41" t="s">
        <v>51</v>
      </c>
      <c r="D44" s="44">
        <v>12500</v>
      </c>
      <c r="E44" s="43"/>
      <c r="F44" s="50" t="s">
        <v>51</v>
      </c>
      <c r="G44" s="44">
        <f t="shared" si="3"/>
        <v>38445.3125</v>
      </c>
      <c r="H44" s="167">
        <f>'8. General Start Up Cost'!$F$26</f>
        <v>0</v>
      </c>
      <c r="I44" s="44">
        <f t="shared" si="4"/>
        <v>12500</v>
      </c>
      <c r="J44" s="44">
        <f t="shared" si="5"/>
        <v>12812.499999999998</v>
      </c>
      <c r="K44" s="44">
        <f t="shared" si="5"/>
        <v>13132.812499999996</v>
      </c>
    </row>
    <row r="45" spans="3:11">
      <c r="C45" s="41" t="s">
        <v>180</v>
      </c>
      <c r="D45" s="44">
        <v>10000</v>
      </c>
      <c r="E45" s="43"/>
      <c r="F45" s="50" t="s">
        <v>52</v>
      </c>
      <c r="G45" s="44">
        <f t="shared" si="3"/>
        <v>30756.25</v>
      </c>
      <c r="H45" s="42"/>
      <c r="I45" s="44">
        <f t="shared" si="4"/>
        <v>10000</v>
      </c>
      <c r="J45" s="44">
        <f t="shared" si="5"/>
        <v>10250</v>
      </c>
      <c r="K45" s="44">
        <f t="shared" si="5"/>
        <v>10506.249999999998</v>
      </c>
    </row>
    <row r="46" spans="3:11" ht="19.5" customHeight="1">
      <c r="C46" s="50" t="s">
        <v>53</v>
      </c>
      <c r="D46" s="44">
        <v>9600</v>
      </c>
      <c r="E46" s="43"/>
      <c r="F46" s="50" t="s">
        <v>53</v>
      </c>
      <c r="G46" s="44">
        <f t="shared" si="3"/>
        <v>29526</v>
      </c>
      <c r="H46" s="167">
        <f>'8. General Start Up Cost'!$F$27</f>
        <v>0</v>
      </c>
      <c r="I46" s="44">
        <f t="shared" si="4"/>
        <v>9600</v>
      </c>
      <c r="J46" s="44">
        <f t="shared" si="5"/>
        <v>9840</v>
      </c>
      <c r="K46" s="44">
        <f t="shared" si="5"/>
        <v>10086</v>
      </c>
    </row>
    <row r="47" spans="3:11">
      <c r="C47" s="41" t="s">
        <v>54</v>
      </c>
      <c r="D47" s="44">
        <v>5000</v>
      </c>
      <c r="F47" s="50" t="s">
        <v>54</v>
      </c>
      <c r="G47" s="44">
        <f t="shared" si="3"/>
        <v>15378.125</v>
      </c>
      <c r="H47" s="167">
        <f>'8. General Start Up Cost'!$F$28</f>
        <v>0</v>
      </c>
      <c r="I47" s="44">
        <f t="shared" si="4"/>
        <v>5000</v>
      </c>
      <c r="J47" s="44">
        <f t="shared" si="5"/>
        <v>5125</v>
      </c>
      <c r="K47" s="44">
        <f t="shared" si="5"/>
        <v>5253.1249999999991</v>
      </c>
    </row>
    <row r="48" spans="3:11">
      <c r="C48" s="41" t="s">
        <v>83</v>
      </c>
      <c r="D48" s="44">
        <v>0</v>
      </c>
      <c r="E48" s="43"/>
      <c r="F48" s="50" t="s">
        <v>55</v>
      </c>
      <c r="G48" s="44">
        <f t="shared" si="3"/>
        <v>0</v>
      </c>
      <c r="H48" s="42"/>
      <c r="I48" s="44">
        <f t="shared" si="4"/>
        <v>0</v>
      </c>
      <c r="J48" s="44">
        <f t="shared" si="5"/>
        <v>0</v>
      </c>
      <c r="K48" s="44">
        <f t="shared" si="5"/>
        <v>0</v>
      </c>
    </row>
    <row r="49" spans="3:11" ht="31">
      <c r="C49" s="50" t="s">
        <v>205</v>
      </c>
      <c r="D49" s="42">
        <f>D50*D51*D52*365</f>
        <v>9125</v>
      </c>
      <c r="E49" s="297" t="s">
        <v>46</v>
      </c>
      <c r="F49" s="41" t="s">
        <v>56</v>
      </c>
      <c r="G49" s="42">
        <f t="shared" si="3"/>
        <v>27375</v>
      </c>
      <c r="H49" s="42"/>
      <c r="I49" s="42">
        <f t="shared" si="4"/>
        <v>9125</v>
      </c>
      <c r="J49" s="42">
        <f>J50*J51*365*J52</f>
        <v>9125</v>
      </c>
      <c r="K49" s="42">
        <f>K50*K51*365*K52</f>
        <v>9125</v>
      </c>
    </row>
    <row r="50" spans="3:11" ht="30.75" customHeight="1">
      <c r="C50" s="103" t="s">
        <v>57</v>
      </c>
      <c r="D50" s="100">
        <f>'3. Basic Input &amp; Assumptions'!H17</f>
        <v>0.625</v>
      </c>
      <c r="E50" s="297" t="s">
        <v>340</v>
      </c>
      <c r="F50" s="41" t="s">
        <v>57</v>
      </c>
      <c r="G50" s="52">
        <f>'3. Basic Input &amp; Assumptions'!$H$17</f>
        <v>0.625</v>
      </c>
      <c r="H50" s="169"/>
      <c r="I50" s="52">
        <f>'3. Basic Input &amp; Assumptions'!H17</f>
        <v>0.625</v>
      </c>
      <c r="J50" s="52">
        <f>'3. Basic Input &amp; Assumptions'!H17</f>
        <v>0.625</v>
      </c>
      <c r="K50" s="52">
        <f>'3. Basic Input &amp; Assumptions'!H17</f>
        <v>0.625</v>
      </c>
    </row>
    <row r="51" spans="3:11" ht="18" customHeight="1">
      <c r="C51" s="104" t="s">
        <v>59</v>
      </c>
      <c r="D51" s="53">
        <f>'3. Basic Input &amp; Assumptions'!H15</f>
        <v>20</v>
      </c>
      <c r="E51" s="54"/>
      <c r="F51" s="50" t="s">
        <v>59</v>
      </c>
      <c r="G51" s="53">
        <f>'3. Basic Input &amp; Assumptions'!$H$15</f>
        <v>20</v>
      </c>
      <c r="H51" s="170"/>
      <c r="I51" s="53">
        <f>'3. Basic Input &amp; Assumptions'!H15</f>
        <v>20</v>
      </c>
      <c r="J51" s="53">
        <f>'3. Basic Input &amp; Assumptions'!H15</f>
        <v>20</v>
      </c>
      <c r="K51" s="53">
        <f>'3. Basic Input &amp; Assumptions'!H15</f>
        <v>20</v>
      </c>
    </row>
    <row r="52" spans="3:11" ht="30.5" customHeight="1">
      <c r="C52" s="104" t="s">
        <v>60</v>
      </c>
      <c r="D52" s="53">
        <v>2</v>
      </c>
      <c r="E52" s="297" t="s">
        <v>84</v>
      </c>
      <c r="F52" s="50" t="s">
        <v>60</v>
      </c>
      <c r="G52" s="53">
        <f>AVERAGE(H52:K52)</f>
        <v>2</v>
      </c>
      <c r="H52" s="170"/>
      <c r="I52" s="53">
        <f t="shared" ref="I52:I62" si="6">D52</f>
        <v>2</v>
      </c>
      <c r="J52" s="53">
        <f>I52</f>
        <v>2</v>
      </c>
      <c r="K52" s="53">
        <f>J52</f>
        <v>2</v>
      </c>
    </row>
    <row r="53" spans="3:11">
      <c r="C53" s="41" t="s">
        <v>61</v>
      </c>
      <c r="D53" s="44">
        <v>0</v>
      </c>
      <c r="E53" s="133"/>
      <c r="F53" s="50" t="s">
        <v>61</v>
      </c>
      <c r="G53" s="44">
        <f t="shared" ref="G53:G63" si="7">SUM(H53:K53)</f>
        <v>0</v>
      </c>
      <c r="H53" s="167">
        <f>'8. General Start Up Cost'!$F$29</f>
        <v>0</v>
      </c>
      <c r="I53" s="44">
        <f t="shared" si="6"/>
        <v>0</v>
      </c>
      <c r="J53" s="44">
        <f t="shared" ref="J53:K62" si="8">I53*(1+$G$80)</f>
        <v>0</v>
      </c>
      <c r="K53" s="44">
        <f t="shared" si="8"/>
        <v>0</v>
      </c>
    </row>
    <row r="54" spans="3:11">
      <c r="C54" s="41" t="s">
        <v>62</v>
      </c>
      <c r="D54" s="44">
        <v>0</v>
      </c>
      <c r="E54" s="43"/>
      <c r="F54" s="50" t="s">
        <v>62</v>
      </c>
      <c r="G54" s="44">
        <f t="shared" si="7"/>
        <v>0</v>
      </c>
      <c r="H54" s="167">
        <f>'8. General Start Up Cost'!$F$30</f>
        <v>0</v>
      </c>
      <c r="I54" s="44">
        <f t="shared" si="6"/>
        <v>0</v>
      </c>
      <c r="J54" s="44">
        <f t="shared" si="8"/>
        <v>0</v>
      </c>
      <c r="K54" s="44">
        <f t="shared" si="8"/>
        <v>0</v>
      </c>
    </row>
    <row r="55" spans="3:11">
      <c r="C55" s="41" t="s">
        <v>63</v>
      </c>
      <c r="D55" s="44">
        <v>0</v>
      </c>
      <c r="E55" s="43"/>
      <c r="F55" s="50" t="s">
        <v>63</v>
      </c>
      <c r="G55" s="44">
        <f t="shared" si="7"/>
        <v>0</v>
      </c>
      <c r="H55" s="42"/>
      <c r="I55" s="44">
        <f t="shared" si="6"/>
        <v>0</v>
      </c>
      <c r="J55" s="44">
        <f t="shared" si="8"/>
        <v>0</v>
      </c>
      <c r="K55" s="44">
        <f t="shared" si="8"/>
        <v>0</v>
      </c>
    </row>
    <row r="56" spans="3:11">
      <c r="C56" s="41" t="s">
        <v>64</v>
      </c>
      <c r="D56" s="44">
        <v>0</v>
      </c>
      <c r="E56" s="43"/>
      <c r="F56" s="50" t="s">
        <v>64</v>
      </c>
      <c r="G56" s="44">
        <f t="shared" si="7"/>
        <v>0</v>
      </c>
      <c r="H56" s="42"/>
      <c r="I56" s="44">
        <f t="shared" si="6"/>
        <v>0</v>
      </c>
      <c r="J56" s="44">
        <f t="shared" si="8"/>
        <v>0</v>
      </c>
      <c r="K56" s="44">
        <f t="shared" si="8"/>
        <v>0</v>
      </c>
    </row>
    <row r="57" spans="3:11">
      <c r="C57" s="41" t="s">
        <v>65</v>
      </c>
      <c r="D57" s="44">
        <v>0</v>
      </c>
      <c r="E57" s="43"/>
      <c r="F57" s="50" t="s">
        <v>65</v>
      </c>
      <c r="G57" s="44">
        <f t="shared" si="7"/>
        <v>0</v>
      </c>
      <c r="H57" s="167">
        <f>'8. General Start Up Cost'!$F$31</f>
        <v>0</v>
      </c>
      <c r="I57" s="44">
        <f t="shared" si="6"/>
        <v>0</v>
      </c>
      <c r="J57" s="44">
        <f t="shared" si="8"/>
        <v>0</v>
      </c>
      <c r="K57" s="44">
        <f t="shared" si="8"/>
        <v>0</v>
      </c>
    </row>
    <row r="58" spans="3:11" ht="46.5">
      <c r="C58" s="50" t="s">
        <v>66</v>
      </c>
      <c r="D58" s="44">
        <v>0</v>
      </c>
      <c r="E58" s="43"/>
      <c r="F58" s="50" t="s">
        <v>66</v>
      </c>
      <c r="G58" s="44">
        <f t="shared" si="7"/>
        <v>4300</v>
      </c>
      <c r="H58" s="167">
        <f>SUM('8. General Start Up Cost'!$F$33:$F$42)</f>
        <v>4300</v>
      </c>
      <c r="I58" s="44">
        <f t="shared" si="6"/>
        <v>0</v>
      </c>
      <c r="J58" s="44">
        <f t="shared" si="8"/>
        <v>0</v>
      </c>
      <c r="K58" s="44">
        <f t="shared" si="8"/>
        <v>0</v>
      </c>
    </row>
    <row r="59" spans="3:11">
      <c r="C59" s="41" t="s">
        <v>68</v>
      </c>
      <c r="D59" s="44">
        <v>0</v>
      </c>
      <c r="E59" s="43"/>
      <c r="F59" s="50" t="s">
        <v>68</v>
      </c>
      <c r="G59" s="44">
        <f t="shared" si="7"/>
        <v>0</v>
      </c>
      <c r="H59" s="42"/>
      <c r="I59" s="44">
        <f t="shared" si="6"/>
        <v>0</v>
      </c>
      <c r="J59" s="44">
        <f t="shared" si="8"/>
        <v>0</v>
      </c>
      <c r="K59" s="44">
        <f t="shared" si="8"/>
        <v>0</v>
      </c>
    </row>
    <row r="60" spans="3:11">
      <c r="C60" s="41" t="s">
        <v>69</v>
      </c>
      <c r="D60" s="44">
        <v>0</v>
      </c>
      <c r="E60" s="43"/>
      <c r="F60" s="50" t="s">
        <v>69</v>
      </c>
      <c r="G60" s="44">
        <f t="shared" si="7"/>
        <v>0</v>
      </c>
      <c r="H60" s="42"/>
      <c r="I60" s="44">
        <f t="shared" si="6"/>
        <v>0</v>
      </c>
      <c r="J60" s="44">
        <f t="shared" si="8"/>
        <v>0</v>
      </c>
      <c r="K60" s="44">
        <f t="shared" si="8"/>
        <v>0</v>
      </c>
    </row>
    <row r="61" spans="3:11" ht="46.5">
      <c r="C61" s="50" t="s">
        <v>85</v>
      </c>
      <c r="D61" s="44">
        <v>8000</v>
      </c>
      <c r="E61" s="43"/>
      <c r="F61" s="50" t="s">
        <v>70</v>
      </c>
      <c r="G61" s="44">
        <f t="shared" si="7"/>
        <v>61005</v>
      </c>
      <c r="H61" s="167">
        <f>SUM('8. General Start Up Cost'!$F$46:$F$49)</f>
        <v>36400</v>
      </c>
      <c r="I61" s="44">
        <f t="shared" si="6"/>
        <v>8000</v>
      </c>
      <c r="J61" s="44">
        <f t="shared" si="8"/>
        <v>8200</v>
      </c>
      <c r="K61" s="44">
        <f t="shared" si="8"/>
        <v>8405</v>
      </c>
    </row>
    <row r="62" spans="3:11">
      <c r="C62" s="55" t="s">
        <v>71</v>
      </c>
      <c r="D62" s="45">
        <v>0</v>
      </c>
      <c r="E62" s="43"/>
      <c r="F62" s="55" t="s">
        <v>71</v>
      </c>
      <c r="G62" s="45">
        <f t="shared" si="7"/>
        <v>0</v>
      </c>
      <c r="H62" s="58"/>
      <c r="I62" s="45">
        <f t="shared" si="6"/>
        <v>0</v>
      </c>
      <c r="J62" s="45">
        <f t="shared" si="8"/>
        <v>0</v>
      </c>
      <c r="K62" s="45">
        <f t="shared" si="8"/>
        <v>0</v>
      </c>
    </row>
    <row r="63" spans="3:11">
      <c r="C63" s="56" t="s">
        <v>72</v>
      </c>
      <c r="D63" s="39">
        <f>SUM(D42:D62)</f>
        <v>133747.625</v>
      </c>
      <c r="E63" s="43"/>
      <c r="F63" s="56" t="s">
        <v>72</v>
      </c>
      <c r="G63" s="39">
        <f t="shared" si="7"/>
        <v>462365.75</v>
      </c>
      <c r="H63" s="39">
        <f>SUM(H42:H62)</f>
        <v>51700</v>
      </c>
      <c r="I63" s="39">
        <f>SUM(I42:I62)</f>
        <v>133747.625</v>
      </c>
      <c r="J63" s="39">
        <f>SUM(J42:J62)</f>
        <v>136862.625</v>
      </c>
      <c r="K63" s="39">
        <f>SUM(K42:K62)</f>
        <v>140055.5</v>
      </c>
    </row>
    <row r="64" spans="3:11">
      <c r="C64" s="48"/>
      <c r="D64" s="42"/>
      <c r="E64" s="43"/>
      <c r="F64" s="48"/>
      <c r="G64" s="42"/>
      <c r="H64" s="42"/>
      <c r="I64" s="42"/>
      <c r="J64" s="42"/>
      <c r="K64" s="42"/>
    </row>
    <row r="65" spans="3:11">
      <c r="C65" s="110" t="s">
        <v>73</v>
      </c>
      <c r="D65" s="42">
        <f>D39+D63</f>
        <v>625538.02500000002</v>
      </c>
      <c r="E65" s="43"/>
      <c r="F65" s="110" t="s">
        <v>73</v>
      </c>
      <c r="G65" s="42">
        <f>SUM(H65:K65)</f>
        <v>1979428.5989999999</v>
      </c>
      <c r="H65" s="167">
        <f>SUM(H39,H63)</f>
        <v>56200</v>
      </c>
      <c r="I65" s="42">
        <f>I39+I63</f>
        <v>625538.02500000002</v>
      </c>
      <c r="J65" s="42">
        <f>J39+J63</f>
        <v>640947.78499999992</v>
      </c>
      <c r="K65" s="42">
        <f>K39+K63</f>
        <v>656742.78899999987</v>
      </c>
    </row>
    <row r="66" spans="3:11">
      <c r="C66" s="112" t="s">
        <v>74</v>
      </c>
      <c r="D66" s="58">
        <f>D65*('3. Basic Input &amp; Assumptions'!H14)</f>
        <v>93830.703750000001</v>
      </c>
      <c r="E66" s="43"/>
      <c r="F66" s="112" t="s">
        <v>74</v>
      </c>
      <c r="G66" s="58">
        <f>SUM(H66:K66)</f>
        <v>296914.28984999994</v>
      </c>
      <c r="H66" s="168">
        <f>H65*'3. Basic Input &amp; Assumptions'!$H$14</f>
        <v>8430</v>
      </c>
      <c r="I66" s="58">
        <f>I65*('3. Basic Input &amp; Assumptions'!$H$14)</f>
        <v>93830.703750000001</v>
      </c>
      <c r="J66" s="58">
        <f>J65*('3. Basic Input &amp; Assumptions'!$H$14)</f>
        <v>96142.167749999979</v>
      </c>
      <c r="K66" s="58">
        <f>K65*('3. Basic Input &amp; Assumptions'!H14)</f>
        <v>98511.418349999978</v>
      </c>
    </row>
    <row r="67" spans="3:11">
      <c r="C67" s="111" t="s">
        <v>136</v>
      </c>
      <c r="D67" s="39">
        <f>D65+D66</f>
        <v>719368.72875000001</v>
      </c>
      <c r="E67" s="43"/>
      <c r="F67" s="111" t="s">
        <v>136</v>
      </c>
      <c r="G67" s="39">
        <f>SUM(H67:K67)</f>
        <v>2276342.8888499998</v>
      </c>
      <c r="H67" s="171">
        <f>SUM(H65:H66)</f>
        <v>64630</v>
      </c>
      <c r="I67" s="39">
        <f>I65+I66</f>
        <v>719368.72875000001</v>
      </c>
      <c r="J67" s="39">
        <f>J65+J66</f>
        <v>737089.95274999994</v>
      </c>
      <c r="K67" s="39">
        <f>K65+K66</f>
        <v>755254.20734999981</v>
      </c>
    </row>
    <row r="68" spans="3:11">
      <c r="C68" s="38"/>
      <c r="D68" s="42"/>
      <c r="E68" s="43"/>
      <c r="F68" s="38"/>
      <c r="G68" s="42"/>
      <c r="H68" s="42"/>
      <c r="I68" s="42"/>
      <c r="J68" s="42"/>
      <c r="K68" s="42"/>
    </row>
    <row r="69" spans="3:11">
      <c r="C69" s="110" t="s">
        <v>137</v>
      </c>
      <c r="D69" s="42"/>
      <c r="E69" s="40"/>
      <c r="F69" s="110" t="s">
        <v>137</v>
      </c>
      <c r="G69" s="42"/>
      <c r="H69" s="42"/>
      <c r="I69" s="42"/>
      <c r="J69" s="42"/>
      <c r="K69" s="42"/>
    </row>
    <row r="70" spans="3:11">
      <c r="C70" s="50" t="s">
        <v>75</v>
      </c>
      <c r="D70" s="44">
        <f>SUM(H20:H25)</f>
        <v>0</v>
      </c>
      <c r="E70" s="40"/>
      <c r="F70" s="50" t="s">
        <v>75</v>
      </c>
      <c r="G70" s="44">
        <f t="shared" ref="G70:G75" si="9">SUM(H70:K70)</f>
        <v>0</v>
      </c>
      <c r="H70" s="167">
        <v>0</v>
      </c>
      <c r="I70" s="44">
        <f t="shared" ref="I70:I76" si="10">D70</f>
        <v>0</v>
      </c>
      <c r="J70" s="44">
        <f t="shared" ref="J70:K75" si="11">I70</f>
        <v>0</v>
      </c>
      <c r="K70" s="44">
        <f t="shared" si="11"/>
        <v>0</v>
      </c>
    </row>
    <row r="71" spans="3:11">
      <c r="C71" s="41" t="s">
        <v>358</v>
      </c>
      <c r="D71" s="44">
        <v>0</v>
      </c>
      <c r="E71" s="40"/>
      <c r="F71" s="41" t="s">
        <v>358</v>
      </c>
      <c r="G71" s="44">
        <f t="shared" si="9"/>
        <v>0</v>
      </c>
      <c r="H71" s="167">
        <v>0</v>
      </c>
      <c r="I71" s="44">
        <f t="shared" si="10"/>
        <v>0</v>
      </c>
      <c r="J71" s="44">
        <f t="shared" si="11"/>
        <v>0</v>
      </c>
      <c r="K71" s="44">
        <f t="shared" si="11"/>
        <v>0</v>
      </c>
    </row>
    <row r="72" spans="3:11">
      <c r="C72" s="41" t="s">
        <v>77</v>
      </c>
      <c r="D72" s="44">
        <v>0</v>
      </c>
      <c r="E72" s="40"/>
      <c r="F72" s="41" t="s">
        <v>77</v>
      </c>
      <c r="G72" s="44">
        <f t="shared" si="9"/>
        <v>0</v>
      </c>
      <c r="H72" s="167">
        <v>0</v>
      </c>
      <c r="I72" s="44">
        <f t="shared" si="10"/>
        <v>0</v>
      </c>
      <c r="J72" s="44">
        <f t="shared" si="11"/>
        <v>0</v>
      </c>
      <c r="K72" s="44">
        <f t="shared" si="11"/>
        <v>0</v>
      </c>
    </row>
    <row r="73" spans="3:11">
      <c r="C73" s="50" t="s">
        <v>203</v>
      </c>
      <c r="D73" s="44">
        <v>0</v>
      </c>
      <c r="E73" s="40"/>
      <c r="F73" s="50" t="s">
        <v>203</v>
      </c>
      <c r="G73" s="44">
        <f t="shared" si="9"/>
        <v>0</v>
      </c>
      <c r="H73" s="167">
        <v>0</v>
      </c>
      <c r="I73" s="44">
        <f t="shared" si="10"/>
        <v>0</v>
      </c>
      <c r="J73" s="44">
        <f t="shared" si="11"/>
        <v>0</v>
      </c>
      <c r="K73" s="44">
        <f t="shared" si="11"/>
        <v>0</v>
      </c>
    </row>
    <row r="74" spans="3:11">
      <c r="C74" s="41" t="s">
        <v>76</v>
      </c>
      <c r="D74" s="44">
        <v>0</v>
      </c>
      <c r="E74" s="40"/>
      <c r="F74" s="41" t="s">
        <v>76</v>
      </c>
      <c r="G74" s="44">
        <f t="shared" si="9"/>
        <v>0</v>
      </c>
      <c r="H74" s="167">
        <v>0</v>
      </c>
      <c r="I74" s="44">
        <f t="shared" si="10"/>
        <v>0</v>
      </c>
      <c r="J74" s="44">
        <f t="shared" si="11"/>
        <v>0</v>
      </c>
      <c r="K74" s="44">
        <f t="shared" si="11"/>
        <v>0</v>
      </c>
    </row>
    <row r="75" spans="3:11">
      <c r="C75" s="60" t="s">
        <v>78</v>
      </c>
      <c r="D75" s="45">
        <f>SUM(D71:D74)</f>
        <v>0</v>
      </c>
      <c r="E75" s="40"/>
      <c r="F75" s="60" t="s">
        <v>78</v>
      </c>
      <c r="G75" s="45">
        <f t="shared" si="9"/>
        <v>0</v>
      </c>
      <c r="H75" s="168">
        <v>0</v>
      </c>
      <c r="I75" s="45">
        <f t="shared" si="10"/>
        <v>0</v>
      </c>
      <c r="J75" s="45">
        <f t="shared" si="11"/>
        <v>0</v>
      </c>
      <c r="K75" s="45">
        <f t="shared" si="11"/>
        <v>0</v>
      </c>
    </row>
    <row r="76" spans="3:11">
      <c r="C76" s="178" t="s">
        <v>86</v>
      </c>
      <c r="D76" s="39">
        <f>SUM(D70:D75)</f>
        <v>0</v>
      </c>
      <c r="E76" s="40"/>
      <c r="F76" s="178" t="s">
        <v>86</v>
      </c>
      <c r="G76" s="64">
        <f t="shared" ref="G76" si="12">SUM(H76:K76)</f>
        <v>0</v>
      </c>
      <c r="H76" s="171">
        <v>0</v>
      </c>
      <c r="I76" s="39">
        <f t="shared" si="10"/>
        <v>0</v>
      </c>
      <c r="J76" s="39">
        <f>SUM(J70:J75)</f>
        <v>0</v>
      </c>
      <c r="K76" s="160">
        <f>SUM(K70:K75)</f>
        <v>0</v>
      </c>
    </row>
    <row r="77" spans="3:11">
      <c r="C77" s="63"/>
      <c r="D77" s="62"/>
      <c r="E77" s="40"/>
      <c r="F77" s="63"/>
      <c r="G77" s="62"/>
      <c r="H77" s="62"/>
      <c r="I77" s="62"/>
      <c r="J77" s="62"/>
      <c r="K77" s="62"/>
    </row>
    <row r="78" spans="3:11">
      <c r="C78" s="113" t="s">
        <v>138</v>
      </c>
      <c r="D78" s="64">
        <f>D76-D67</f>
        <v>-719368.72875000001</v>
      </c>
      <c r="E78" s="40"/>
      <c r="F78" s="109" t="s">
        <v>138</v>
      </c>
      <c r="G78" s="64">
        <f>SUM(H78:K78)</f>
        <v>-2276342.8888499998</v>
      </c>
      <c r="H78" s="64">
        <f>H76-H67</f>
        <v>-64630</v>
      </c>
      <c r="I78" s="64">
        <f>I76-I67</f>
        <v>-719368.72875000001</v>
      </c>
      <c r="J78" s="64">
        <f>J76-J67</f>
        <v>-737089.95274999994</v>
      </c>
      <c r="K78" s="64">
        <f>K76-K67</f>
        <v>-755254.20734999981</v>
      </c>
    </row>
    <row r="80" spans="3:11">
      <c r="F80" s="10" t="s">
        <v>80</v>
      </c>
      <c r="G80" s="65">
        <f>'3. Basic Input &amp; Assumptions'!H18</f>
        <v>2.5000000000000001E-2</v>
      </c>
      <c r="H80" s="65"/>
      <c r="I80" s="65"/>
    </row>
  </sheetData>
  <sheetProtection selectLockedCells="1"/>
  <mergeCells count="16">
    <mergeCell ref="D1:I1"/>
    <mergeCell ref="C27:H27"/>
    <mergeCell ref="C9:D9"/>
    <mergeCell ref="C10:H11"/>
    <mergeCell ref="C6:G6"/>
    <mergeCell ref="C15:G15"/>
    <mergeCell ref="C16:G16"/>
    <mergeCell ref="C7:D7"/>
    <mergeCell ref="E7:F7"/>
    <mergeCell ref="C32:D32"/>
    <mergeCell ref="F20:F25"/>
    <mergeCell ref="C28:H28"/>
    <mergeCell ref="G17:G19"/>
    <mergeCell ref="F17:F19"/>
    <mergeCell ref="H17:H19"/>
    <mergeCell ref="F31:K31"/>
  </mergeCells>
  <conditionalFormatting sqref="G17">
    <cfRule type="expression" dxfId="10" priority="7">
      <formula>$F$24="No"</formula>
    </cfRule>
  </conditionalFormatting>
  <conditionalFormatting sqref="G20:G25">
    <cfRule type="expression" dxfId="9" priority="4">
      <formula>$F$24="No"</formula>
    </cfRule>
  </conditionalFormatting>
  <conditionalFormatting sqref="G17:H26">
    <cfRule type="expression" dxfId="8" priority="3">
      <formula>$F$20="No"</formula>
    </cfRule>
  </conditionalFormatting>
  <conditionalFormatting sqref="I26">
    <cfRule type="expression" dxfId="7" priority="2">
      <formula>$F$20="No"</formula>
    </cfRule>
  </conditionalFormatting>
  <dataValidations count="3">
    <dataValidation type="whole" allowBlank="1" showInputMessage="1" showErrorMessage="1" sqref="D13 F13" xr:uid="{00000000-0002-0000-0400-000000000000}">
      <formula1>0</formula1>
      <formula2>100000</formula2>
    </dataValidation>
    <dataValidation allowBlank="1" showDropDown="1" showInputMessage="1" showErrorMessage="1" sqref="C13" xr:uid="{00000000-0002-0000-0400-000001000000}"/>
    <dataValidation type="list" allowBlank="1" showInputMessage="1" showErrorMessage="1" sqref="F20:F25" xr:uid="{00000000-0002-0000-0400-000002000000}">
      <formula1>"Yes, No"</formula1>
    </dataValidation>
  </dataValidations>
  <hyperlinks>
    <hyperlink ref="C8" r:id="rId1" xr:uid="{447B97A9-7528-42D6-8583-B0C53955FE39}"/>
  </hyperlinks>
  <pageMargins left="0.7" right="0.7" top="0.75" bottom="0.75" header="0.3" footer="0.3"/>
  <pageSetup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U94"/>
  <sheetViews>
    <sheetView showGridLines="0" topLeftCell="D73" zoomScale="70" zoomScaleNormal="70" workbookViewId="0">
      <selection activeCell="J81" sqref="J81"/>
    </sheetView>
  </sheetViews>
  <sheetFormatPr defaultColWidth="9.1796875" defaultRowHeight="15.5"/>
  <cols>
    <col min="1" max="2" width="2.81640625" style="4" customWidth="1"/>
    <col min="3" max="3" width="39" style="4" customWidth="1"/>
    <col min="4" max="4" width="23.81640625" style="4" bestFit="1" customWidth="1"/>
    <col min="5" max="5" width="33" style="4" customWidth="1"/>
    <col min="6" max="6" width="38.453125" style="10" customWidth="1"/>
    <col min="7" max="7" width="27.81640625" style="8" customWidth="1"/>
    <col min="8" max="8" width="25.36328125" style="8" bestFit="1" customWidth="1"/>
    <col min="9" max="9" width="25" style="8" bestFit="1" customWidth="1"/>
    <col min="10" max="12" width="21.6328125" style="4" customWidth="1"/>
    <col min="13" max="13" width="9.1796875" style="4" customWidth="1"/>
    <col min="14" max="14" width="24.36328125" style="4" customWidth="1"/>
    <col min="15" max="15" width="21.6328125" style="4" customWidth="1"/>
    <col min="16" max="16" width="17" style="4" customWidth="1"/>
    <col min="17" max="17" width="19.6328125" style="4" customWidth="1"/>
    <col min="18" max="16384" width="9.1796875" style="4"/>
  </cols>
  <sheetData>
    <row r="1" spans="1:21" ht="106" customHeight="1">
      <c r="D1" s="348" t="s">
        <v>238</v>
      </c>
      <c r="E1" s="348"/>
      <c r="F1" s="348"/>
      <c r="G1" s="348"/>
      <c r="H1" s="348"/>
      <c r="I1" s="348"/>
    </row>
    <row r="2" spans="1:21" s="3" customFormat="1">
      <c r="B2" s="1"/>
      <c r="C2" s="2"/>
      <c r="D2" s="2"/>
    </row>
    <row r="3" spans="1:21">
      <c r="A3" s="5" t="s">
        <v>189</v>
      </c>
      <c r="B3" s="6"/>
      <c r="C3" s="5"/>
      <c r="D3" s="6"/>
      <c r="E3" s="6"/>
      <c r="F3" s="7"/>
      <c r="G3" s="92"/>
      <c r="H3" s="92"/>
      <c r="I3" s="92"/>
    </row>
    <row r="4" spans="1:21" ht="25.5" customHeight="1">
      <c r="C4" s="226" t="s">
        <v>212</v>
      </c>
    </row>
    <row r="5" spans="1:21">
      <c r="C5" s="9" t="s">
        <v>190</v>
      </c>
    </row>
    <row r="6" spans="1:21" ht="254.5" customHeight="1">
      <c r="C6" s="350" t="s">
        <v>214</v>
      </c>
      <c r="D6" s="350"/>
      <c r="E6" s="350"/>
      <c r="F6" s="350"/>
      <c r="G6" s="350"/>
      <c r="H6" s="227"/>
      <c r="I6" s="151"/>
    </row>
    <row r="7" spans="1:21" ht="287.5" customHeight="1">
      <c r="C7" s="350" t="s">
        <v>222</v>
      </c>
      <c r="D7" s="350"/>
      <c r="E7" s="350"/>
      <c r="F7" s="350"/>
      <c r="G7" s="350"/>
      <c r="H7" s="227"/>
      <c r="I7" s="151"/>
    </row>
    <row r="8" spans="1:21" ht="23.5" customHeight="1">
      <c r="B8" s="381" t="s">
        <v>211</v>
      </c>
      <c r="C8" s="381"/>
      <c r="D8" s="381"/>
      <c r="E8" s="164"/>
      <c r="F8" s="164"/>
      <c r="G8" s="164"/>
      <c r="H8" s="227"/>
      <c r="I8" s="151"/>
    </row>
    <row r="9" spans="1:21" ht="15.5" customHeight="1">
      <c r="C9" s="358" t="s">
        <v>223</v>
      </c>
      <c r="D9" s="358"/>
      <c r="E9" s="358"/>
      <c r="F9" s="358"/>
      <c r="G9" s="358"/>
      <c r="H9" s="358"/>
      <c r="N9" s="11"/>
    </row>
    <row r="10" spans="1:21">
      <c r="C10" s="358"/>
      <c r="D10" s="358"/>
      <c r="E10" s="358"/>
      <c r="F10" s="358"/>
      <c r="G10" s="358"/>
      <c r="H10" s="358"/>
      <c r="J10" s="4" t="s">
        <v>87</v>
      </c>
    </row>
    <row r="11" spans="1:21">
      <c r="C11" s="12"/>
      <c r="D11" s="12" t="s">
        <v>209</v>
      </c>
      <c r="E11" s="230"/>
      <c r="F11" s="209"/>
      <c r="G11" s="93"/>
      <c r="H11" s="93"/>
      <c r="I11" s="93"/>
      <c r="J11" s="14"/>
    </row>
    <row r="12" spans="1:21" ht="16" thickBot="1">
      <c r="B12" s="15">
        <v>1</v>
      </c>
      <c r="C12" s="16" t="s">
        <v>195</v>
      </c>
      <c r="D12" s="17">
        <v>17</v>
      </c>
      <c r="E12" s="231"/>
      <c r="F12" s="210"/>
      <c r="G12" s="177"/>
      <c r="H12" s="177"/>
      <c r="I12" s="177"/>
      <c r="J12" s="18" t="e">
        <f>IF(D12&gt;0,D12/E12,0)+IF(F12&gt;0,F12/G12,0)</f>
        <v>#DIV/0!</v>
      </c>
    </row>
    <row r="13" spans="1:21" ht="16" thickBot="1">
      <c r="B13" s="15">
        <v>2</v>
      </c>
      <c r="C13" s="19" t="s">
        <v>196</v>
      </c>
      <c r="D13" s="20">
        <f>SUM(D12:D12)</f>
        <v>17</v>
      </c>
      <c r="E13" s="232"/>
      <c r="F13" s="210"/>
      <c r="G13" s="177"/>
      <c r="H13" s="177"/>
      <c r="I13" s="177"/>
      <c r="J13" s="18" t="e">
        <f>IF(D13&gt;0,D13/E13,0)+IF(F13&gt;0,F13/G13,0)</f>
        <v>#DIV/0!</v>
      </c>
    </row>
    <row r="15" spans="1:21" ht="35" customHeight="1">
      <c r="C15" s="350" t="s">
        <v>200</v>
      </c>
      <c r="D15" s="350"/>
      <c r="E15" s="350"/>
      <c r="F15" s="350"/>
      <c r="G15" s="350"/>
      <c r="H15" s="350"/>
    </row>
    <row r="16" spans="1:21" ht="41.5" customHeight="1">
      <c r="C16" s="350" t="s">
        <v>224</v>
      </c>
      <c r="D16" s="350"/>
      <c r="E16" s="350"/>
      <c r="F16" s="350"/>
      <c r="G16" s="350"/>
      <c r="H16" s="350"/>
      <c r="N16" s="11"/>
      <c r="R16" s="9"/>
      <c r="S16" s="9"/>
      <c r="T16" s="9"/>
      <c r="U16" s="9"/>
    </row>
    <row r="17" spans="2:14">
      <c r="C17" s="358" t="s">
        <v>230</v>
      </c>
      <c r="D17" s="358"/>
      <c r="E17" s="358"/>
      <c r="F17" s="358"/>
      <c r="G17" s="358"/>
      <c r="H17" s="166"/>
      <c r="I17" s="166"/>
    </row>
    <row r="18" spans="2:14">
      <c r="C18" s="358"/>
      <c r="D18" s="358"/>
      <c r="E18" s="358"/>
      <c r="F18" s="358"/>
      <c r="G18" s="358"/>
      <c r="H18" s="166"/>
      <c r="I18" s="166"/>
      <c r="N18" s="11"/>
    </row>
    <row r="19" spans="2:14">
      <c r="D19" s="21" t="s">
        <v>208</v>
      </c>
      <c r="E19" s="21" t="s">
        <v>20</v>
      </c>
      <c r="F19" s="21"/>
      <c r="K19" s="21"/>
    </row>
    <row r="20" spans="2:14">
      <c r="C20" s="22" t="s">
        <v>21</v>
      </c>
      <c r="D20" s="23">
        <v>0.5</v>
      </c>
      <c r="E20" s="24">
        <v>90000</v>
      </c>
      <c r="F20" s="378"/>
      <c r="G20" s="379"/>
      <c r="H20" s="379"/>
      <c r="I20" s="379"/>
      <c r="J20" s="379"/>
    </row>
    <row r="21" spans="2:14">
      <c r="C21" s="22" t="s">
        <v>197</v>
      </c>
      <c r="D21" s="23">
        <v>1</v>
      </c>
      <c r="E21" s="24">
        <v>80000</v>
      </c>
      <c r="F21" s="378"/>
      <c r="G21" s="379"/>
      <c r="H21" s="379"/>
      <c r="I21" s="379"/>
      <c r="J21" s="379"/>
    </row>
    <row r="22" spans="2:14">
      <c r="C22" s="25" t="s">
        <v>198</v>
      </c>
      <c r="D22" s="23">
        <v>1</v>
      </c>
      <c r="E22" s="24">
        <v>64000</v>
      </c>
      <c r="L22" s="26"/>
      <c r="M22" s="26"/>
    </row>
    <row r="23" spans="2:14">
      <c r="C23" s="22" t="s">
        <v>199</v>
      </c>
      <c r="D23" s="23">
        <v>1</v>
      </c>
      <c r="E23" s="24">
        <v>55000</v>
      </c>
      <c r="F23" s="378"/>
      <c r="G23" s="379"/>
      <c r="H23" s="379"/>
      <c r="I23" s="379"/>
      <c r="J23" s="379"/>
    </row>
    <row r="24" spans="2:14" ht="31">
      <c r="C24" s="25" t="s">
        <v>206</v>
      </c>
      <c r="D24" s="23">
        <v>3</v>
      </c>
      <c r="E24" s="24">
        <v>45000</v>
      </c>
      <c r="F24" s="378"/>
      <c r="G24" s="379"/>
      <c r="H24" s="379"/>
      <c r="I24" s="379"/>
      <c r="J24" s="379"/>
    </row>
    <row r="25" spans="2:14" ht="46.5">
      <c r="C25" s="25" t="s">
        <v>220</v>
      </c>
      <c r="D25" s="23"/>
      <c r="E25" s="24"/>
      <c r="G25" s="215"/>
      <c r="H25" s="215"/>
      <c r="I25" s="215"/>
      <c r="J25" s="215"/>
    </row>
    <row r="26" spans="2:14">
      <c r="C26" s="214" t="s">
        <v>215</v>
      </c>
      <c r="D26" s="236"/>
      <c r="E26" s="237"/>
      <c r="F26" s="214"/>
      <c r="G26" s="215"/>
      <c r="H26" s="215"/>
      <c r="I26" s="215"/>
      <c r="J26" s="215"/>
    </row>
    <row r="27" spans="2:14">
      <c r="C27" s="214" t="s">
        <v>216</v>
      </c>
      <c r="D27" s="236"/>
      <c r="E27" s="237"/>
      <c r="G27" s="215"/>
      <c r="H27" s="215"/>
      <c r="I27" s="215"/>
      <c r="J27" s="215"/>
    </row>
    <row r="28" spans="2:14">
      <c r="C28" s="214" t="s">
        <v>217</v>
      </c>
      <c r="D28" s="236"/>
      <c r="E28" s="237"/>
      <c r="G28" s="215"/>
      <c r="H28" s="215"/>
      <c r="I28" s="215"/>
      <c r="J28" s="215"/>
    </row>
    <row r="29" spans="2:14">
      <c r="C29" s="214" t="s">
        <v>218</v>
      </c>
      <c r="D29" s="236"/>
      <c r="E29" s="237"/>
      <c r="G29" s="215"/>
      <c r="H29" s="215"/>
      <c r="I29" s="215"/>
      <c r="J29" s="215"/>
    </row>
    <row r="30" spans="2:14" ht="29" customHeight="1">
      <c r="C30" s="235" t="s">
        <v>219</v>
      </c>
      <c r="D30" s="237"/>
      <c r="E30" s="237"/>
      <c r="F30" s="378"/>
      <c r="G30" s="379"/>
      <c r="H30" s="379"/>
      <c r="I30" s="379"/>
      <c r="J30" s="379"/>
    </row>
    <row r="31" spans="2:14" ht="63" customHeight="1">
      <c r="C31" s="228" t="s">
        <v>221</v>
      </c>
      <c r="D31" s="116">
        <f>SUM(D21:D23)</f>
        <v>3</v>
      </c>
    </row>
    <row r="32" spans="2:14" hidden="1">
      <c r="B32" s="137"/>
      <c r="C32" s="138" t="s">
        <v>88</v>
      </c>
      <c r="D32" s="139"/>
      <c r="E32" s="139"/>
      <c r="F32" s="140"/>
      <c r="G32" s="141"/>
      <c r="H32" s="141"/>
      <c r="I32" s="141"/>
      <c r="J32" s="142"/>
    </row>
    <row r="33" spans="2:12" hidden="1">
      <c r="B33" s="143"/>
      <c r="C33" s="144" t="s">
        <v>89</v>
      </c>
      <c r="D33" s="144"/>
      <c r="E33" s="380" t="s">
        <v>22</v>
      </c>
      <c r="F33" s="380"/>
      <c r="G33" s="380"/>
      <c r="H33" s="162"/>
      <c r="I33" s="162"/>
      <c r="J33" s="145"/>
      <c r="K33" s="143"/>
    </row>
    <row r="34" spans="2:12" hidden="1">
      <c r="B34" s="143"/>
      <c r="C34" s="28" t="s">
        <v>23</v>
      </c>
      <c r="D34" s="29">
        <v>40</v>
      </c>
      <c r="E34" s="376" t="s">
        <v>24</v>
      </c>
      <c r="F34" s="377"/>
      <c r="G34" s="377"/>
      <c r="H34" s="163"/>
      <c r="I34" s="163"/>
      <c r="J34" s="145"/>
    </row>
    <row r="35" spans="2:12" hidden="1">
      <c r="B35" s="143"/>
      <c r="C35" s="30" t="s">
        <v>81</v>
      </c>
      <c r="D35" s="29">
        <v>4</v>
      </c>
      <c r="E35" s="376" t="s">
        <v>82</v>
      </c>
      <c r="F35" s="377"/>
      <c r="G35" s="377"/>
      <c r="H35" s="163"/>
      <c r="I35" s="163"/>
      <c r="J35" s="145"/>
    </row>
    <row r="36" spans="2:12" hidden="1">
      <c r="B36" s="143"/>
      <c r="C36" s="30" t="s">
        <v>25</v>
      </c>
      <c r="D36" s="31">
        <v>0.75</v>
      </c>
      <c r="E36" s="376" t="s">
        <v>90</v>
      </c>
      <c r="F36" s="377"/>
      <c r="G36" s="377"/>
      <c r="H36" s="163"/>
      <c r="I36" s="163"/>
      <c r="J36" s="145"/>
    </row>
    <row r="37" spans="2:12" hidden="1">
      <c r="B37" s="143"/>
      <c r="C37" s="28" t="s">
        <v>26</v>
      </c>
      <c r="D37" s="29">
        <v>10</v>
      </c>
      <c r="E37" s="376" t="s">
        <v>27</v>
      </c>
      <c r="F37" s="377"/>
      <c r="G37" s="377"/>
      <c r="H37" s="163"/>
      <c r="I37" s="163"/>
      <c r="J37" s="145"/>
    </row>
    <row r="38" spans="2:12" hidden="1">
      <c r="B38" s="143"/>
      <c r="C38" s="30" t="s">
        <v>28</v>
      </c>
      <c r="D38" s="29">
        <v>20</v>
      </c>
      <c r="E38" s="376" t="s">
        <v>29</v>
      </c>
      <c r="F38" s="377"/>
      <c r="G38" s="377"/>
      <c r="H38" s="163"/>
      <c r="I38" s="163"/>
      <c r="J38" s="145"/>
    </row>
    <row r="39" spans="2:12" hidden="1">
      <c r="B39" s="143"/>
      <c r="C39" s="30" t="s">
        <v>30</v>
      </c>
      <c r="D39" s="29">
        <v>3</v>
      </c>
      <c r="E39" s="376" t="s">
        <v>31</v>
      </c>
      <c r="F39" s="377"/>
      <c r="G39" s="377"/>
      <c r="H39" s="163"/>
      <c r="I39" s="163"/>
      <c r="J39" s="145"/>
    </row>
    <row r="40" spans="2:12" ht="16" hidden="1" thickBot="1">
      <c r="B40" s="143"/>
      <c r="C40" s="32" t="s">
        <v>32</v>
      </c>
      <c r="D40" s="33">
        <v>1</v>
      </c>
      <c r="E40" s="376" t="s">
        <v>33</v>
      </c>
      <c r="F40" s="377"/>
      <c r="G40" s="377"/>
      <c r="H40" s="163"/>
      <c r="I40" s="163"/>
      <c r="J40" s="145"/>
    </row>
    <row r="41" spans="2:12" hidden="1">
      <c r="B41" s="143"/>
      <c r="C41" s="34" t="s">
        <v>34</v>
      </c>
      <c r="D41" s="35">
        <f>IF(D37="","",(52-(SUM(D37:D40)/5))*$D$34*$D$35*$D$36)</f>
        <v>5424</v>
      </c>
      <c r="J41" s="145"/>
    </row>
    <row r="42" spans="2:12" ht="16" hidden="1" thickBot="1">
      <c r="B42" s="146"/>
      <c r="C42" s="147" t="s">
        <v>35</v>
      </c>
      <c r="D42" s="148">
        <f>(52*5)-(SUM(D37:D40))</f>
        <v>226</v>
      </c>
      <c r="E42" s="135"/>
      <c r="F42" s="136"/>
      <c r="G42" s="149"/>
      <c r="H42" s="149"/>
      <c r="I42" s="149"/>
      <c r="J42" s="150"/>
    </row>
    <row r="43" spans="2:12">
      <c r="C43" s="10"/>
      <c r="D43" s="36"/>
    </row>
    <row r="44" spans="2:12">
      <c r="C44" s="9" t="s">
        <v>36</v>
      </c>
      <c r="F44" s="11"/>
    </row>
    <row r="45" spans="2:12">
      <c r="F45" s="354" t="s">
        <v>225</v>
      </c>
      <c r="G45" s="355"/>
      <c r="H45" s="355"/>
      <c r="I45" s="355"/>
      <c r="J45" s="355"/>
      <c r="K45" s="355"/>
      <c r="L45" s="356"/>
    </row>
    <row r="46" spans="2:12" ht="35.25" customHeight="1">
      <c r="C46" s="351" t="s">
        <v>155</v>
      </c>
      <c r="D46" s="352"/>
      <c r="E46" s="37"/>
      <c r="F46" s="152"/>
      <c r="G46" s="153" t="s">
        <v>150</v>
      </c>
      <c r="H46" s="153" t="s">
        <v>151</v>
      </c>
      <c r="I46" s="153" t="s">
        <v>131</v>
      </c>
      <c r="J46" s="153" t="s">
        <v>37</v>
      </c>
      <c r="K46" s="153" t="s">
        <v>38</v>
      </c>
      <c r="L46" s="153" t="s">
        <v>39</v>
      </c>
    </row>
    <row r="47" spans="2:12">
      <c r="C47" s="111" t="s">
        <v>40</v>
      </c>
      <c r="D47" s="39"/>
      <c r="E47" s="40"/>
      <c r="F47" s="106" t="s">
        <v>40</v>
      </c>
      <c r="G47" s="39"/>
      <c r="H47" s="39"/>
      <c r="I47" s="39"/>
      <c r="J47" s="39"/>
      <c r="K47" s="39"/>
      <c r="L47" s="39"/>
    </row>
    <row r="48" spans="2:12">
      <c r="C48" s="41" t="s">
        <v>41</v>
      </c>
      <c r="D48" s="42">
        <f>SUMPRODUCT(D20:D30,E20:E30)</f>
        <v>379000</v>
      </c>
      <c r="E48" s="43"/>
      <c r="F48" s="50" t="s">
        <v>41</v>
      </c>
      <c r="G48" s="42" t="e">
        <f t="shared" ref="G48:G53" si="0">SUM(I48:L48)</f>
        <v>#REF!</v>
      </c>
      <c r="H48" s="167" t="e">
        <f>IF(OR(#REF!="Apply to Tenancy Supports Tab 6",#REF!="Apply to All"),SUM(#REF!),0)</f>
        <v>#REF!</v>
      </c>
      <c r="I48" s="42"/>
      <c r="J48" s="42" t="e">
        <f>D48+H48</f>
        <v>#REF!</v>
      </c>
      <c r="K48" s="42" t="e">
        <f>J48*(1+$G$94)</f>
        <v>#REF!</v>
      </c>
      <c r="L48" s="42" t="e">
        <f>K48*(1+$G$94)</f>
        <v>#REF!</v>
      </c>
    </row>
    <row r="49" spans="3:12">
      <c r="C49" s="41" t="s">
        <v>42</v>
      </c>
      <c r="D49" s="42">
        <f>D48*'3. Basic Input &amp; Assumptions'!$H$20</f>
        <v>107105.40000000001</v>
      </c>
      <c r="E49" s="43"/>
      <c r="F49" s="50" t="s">
        <v>42</v>
      </c>
      <c r="G49" s="42" t="e">
        <f t="shared" si="0"/>
        <v>#REF!</v>
      </c>
      <c r="H49" s="167" t="e">
        <f>IF(OR(#REF!="Apply to Tenancy Supports Tab 6",#REF!="Apply to All"),SUM(#REF!)*'3. Basic Input &amp; Assumptions'!$H$20,0)</f>
        <v>#REF!</v>
      </c>
      <c r="I49" s="42"/>
      <c r="J49" s="42" t="e">
        <f>J48*'3. Basic Input &amp; Assumptions'!$H$20</f>
        <v>#REF!</v>
      </c>
      <c r="K49" s="42" t="e">
        <f>K48*'3. Basic Input &amp; Assumptions'!$H$20</f>
        <v>#REF!</v>
      </c>
      <c r="L49" s="42" t="e">
        <f>L48*'3. Basic Input &amp; Assumptions'!$H$20</f>
        <v>#REF!</v>
      </c>
    </row>
    <row r="50" spans="3:12">
      <c r="C50" s="41" t="s">
        <v>43</v>
      </c>
      <c r="D50" s="44"/>
      <c r="E50" s="43"/>
      <c r="F50" s="50" t="s">
        <v>43</v>
      </c>
      <c r="G50" s="167" t="e">
        <f t="shared" si="0"/>
        <v>#REF!</v>
      </c>
      <c r="H50" s="167" t="e">
        <f>IF(OR(#REF!="Apply to Tenancy Supports Tab 6",#REF!="Apply to All"),SUM(#REF!),0)</f>
        <v>#REF!</v>
      </c>
      <c r="I50" s="42"/>
      <c r="J50" s="44" t="e">
        <f>D50+H50</f>
        <v>#REF!</v>
      </c>
      <c r="K50" s="44" t="e">
        <f t="shared" ref="K50:L52" si="1">J50*(1+$G$94)</f>
        <v>#REF!</v>
      </c>
      <c r="L50" s="44" t="e">
        <f t="shared" si="1"/>
        <v>#REF!</v>
      </c>
    </row>
    <row r="51" spans="3:12">
      <c r="C51" s="41" t="s">
        <v>44</v>
      </c>
      <c r="D51" s="44"/>
      <c r="E51" s="43"/>
      <c r="F51" s="50" t="s">
        <v>44</v>
      </c>
      <c r="G51" s="167" t="e">
        <f t="shared" si="0"/>
        <v>#REF!</v>
      </c>
      <c r="H51" s="167" t="e">
        <f>IF(OR(#REF!="Apply to Tenancy Supports Tab 6",#REF!="Apply to All"),#REF!,0)</f>
        <v>#REF!</v>
      </c>
      <c r="I51" s="167">
        <f>SUM('8. General Start Up Cost'!$F$10:$F$15)</f>
        <v>4500</v>
      </c>
      <c r="J51" s="44" t="e">
        <f>D51+H51</f>
        <v>#REF!</v>
      </c>
      <c r="K51" s="44" t="e">
        <f t="shared" si="1"/>
        <v>#REF!</v>
      </c>
      <c r="L51" s="44" t="e">
        <f t="shared" si="1"/>
        <v>#REF!</v>
      </c>
    </row>
    <row r="52" spans="3:12">
      <c r="C52" s="202" t="s">
        <v>45</v>
      </c>
      <c r="D52" s="45">
        <f>D48*('3. Basic Input &amp; Assumptions'!H19)</f>
        <v>5685</v>
      </c>
      <c r="E52" s="133" t="s">
        <v>46</v>
      </c>
      <c r="F52" s="102" t="s">
        <v>45</v>
      </c>
      <c r="G52" s="168" t="e">
        <f t="shared" si="0"/>
        <v>#REF!</v>
      </c>
      <c r="H52" s="194" t="e">
        <f>IF(OR(#REF!="Apply to Tenancy Supports Tab 6",#REF!="Apply to All"),SUM(#REF!),0)</f>
        <v>#REF!</v>
      </c>
      <c r="I52" s="168">
        <f>SUM('8. General Start Up Cost'!$F$17:$F$20)</f>
        <v>0</v>
      </c>
      <c r="J52" s="45" t="e">
        <f>D52+H52</f>
        <v>#REF!</v>
      </c>
      <c r="K52" s="45" t="e">
        <f t="shared" si="1"/>
        <v>#REF!</v>
      </c>
      <c r="L52" s="45" t="e">
        <f t="shared" si="1"/>
        <v>#REF!</v>
      </c>
    </row>
    <row r="53" spans="3:12">
      <c r="C53" s="46" t="s">
        <v>47</v>
      </c>
      <c r="D53" s="39">
        <f>SUM(D48:D52)</f>
        <v>491790.4</v>
      </c>
      <c r="E53" s="43"/>
      <c r="F53" s="47" t="s">
        <v>47</v>
      </c>
      <c r="G53" s="39" t="e">
        <f t="shared" si="0"/>
        <v>#REF!</v>
      </c>
      <c r="H53" s="172" t="e">
        <f>SUM(H48:H52)</f>
        <v>#REF!</v>
      </c>
      <c r="I53" s="39">
        <f>SUM(I48:I52)</f>
        <v>4500</v>
      </c>
      <c r="J53" s="39" t="e">
        <f>SUM(J48:J52)</f>
        <v>#REF!</v>
      </c>
      <c r="K53" s="39" t="e">
        <f>SUM(K48:K52)</f>
        <v>#REF!</v>
      </c>
      <c r="L53" s="39" t="e">
        <f>SUM(L48:L52)</f>
        <v>#REF!</v>
      </c>
    </row>
    <row r="54" spans="3:12">
      <c r="C54" s="48"/>
      <c r="D54" s="42"/>
      <c r="E54" s="43"/>
      <c r="F54" s="49"/>
      <c r="G54" s="42"/>
      <c r="H54" s="42"/>
      <c r="I54" s="42"/>
      <c r="J54" s="42"/>
      <c r="K54" s="42"/>
      <c r="L54" s="42"/>
    </row>
    <row r="55" spans="3:12">
      <c r="C55" s="110" t="s">
        <v>48</v>
      </c>
      <c r="D55" s="42"/>
      <c r="E55" s="43"/>
      <c r="F55" s="107" t="s">
        <v>48</v>
      </c>
      <c r="G55" s="42"/>
      <c r="H55" s="42"/>
      <c r="I55" s="42"/>
      <c r="J55" s="42"/>
      <c r="K55" s="42"/>
      <c r="L55" s="42"/>
    </row>
    <row r="56" spans="3:12">
      <c r="C56" s="41" t="s">
        <v>49</v>
      </c>
      <c r="D56" s="44">
        <v>48500</v>
      </c>
      <c r="E56" s="43"/>
      <c r="F56" s="50" t="s">
        <v>49</v>
      </c>
      <c r="G56" s="167">
        <f>SUM(I56:L56)</f>
        <v>160167.8125</v>
      </c>
      <c r="H56" s="42"/>
      <c r="I56" s="167">
        <f>'8. General Start Up Cost'!$F$24</f>
        <v>11000</v>
      </c>
      <c r="J56" s="44">
        <f t="shared" ref="J56:J63" si="2">D56</f>
        <v>48500</v>
      </c>
      <c r="K56" s="44">
        <f t="shared" ref="K56:L62" si="3">J56*(1+$G$94)</f>
        <v>49712.499999999993</v>
      </c>
      <c r="L56" s="44">
        <f t="shared" si="3"/>
        <v>50955.312499999985</v>
      </c>
    </row>
    <row r="57" spans="3:12">
      <c r="C57" s="41" t="s">
        <v>50</v>
      </c>
      <c r="D57" s="44">
        <v>9500</v>
      </c>
      <c r="E57" s="43"/>
      <c r="F57" s="50" t="s">
        <v>50</v>
      </c>
      <c r="G57" s="167">
        <f t="shared" ref="G57:G62" si="4">SUM(I57:L57)</f>
        <v>29218.4375</v>
      </c>
      <c r="H57" s="42"/>
      <c r="I57" s="167">
        <f>'8. General Start Up Cost'!$F$25</f>
        <v>0</v>
      </c>
      <c r="J57" s="44">
        <f t="shared" si="2"/>
        <v>9500</v>
      </c>
      <c r="K57" s="44">
        <f t="shared" si="3"/>
        <v>9737.5</v>
      </c>
      <c r="L57" s="44">
        <f t="shared" si="3"/>
        <v>9980.9375</v>
      </c>
    </row>
    <row r="58" spans="3:12">
      <c r="C58" s="41" t="s">
        <v>51</v>
      </c>
      <c r="D58" s="44">
        <v>12500</v>
      </c>
      <c r="E58" s="43"/>
      <c r="F58" s="50" t="s">
        <v>51</v>
      </c>
      <c r="G58" s="167">
        <f t="shared" si="4"/>
        <v>38445.3125</v>
      </c>
      <c r="H58" s="42"/>
      <c r="I58" s="167">
        <f>'8. General Start Up Cost'!$F$26</f>
        <v>0</v>
      </c>
      <c r="J58" s="44">
        <f t="shared" si="2"/>
        <v>12500</v>
      </c>
      <c r="K58" s="44">
        <f t="shared" si="3"/>
        <v>12812.499999999998</v>
      </c>
      <c r="L58" s="44">
        <f t="shared" si="3"/>
        <v>13132.812499999996</v>
      </c>
    </row>
    <row r="59" spans="3:12">
      <c r="C59" s="41" t="s">
        <v>52</v>
      </c>
      <c r="D59" s="44">
        <v>10000</v>
      </c>
      <c r="E59" s="43"/>
      <c r="F59" s="50" t="s">
        <v>52</v>
      </c>
      <c r="G59" s="167">
        <f t="shared" si="4"/>
        <v>30756.25</v>
      </c>
      <c r="H59" s="42"/>
      <c r="I59" s="42"/>
      <c r="J59" s="44">
        <f t="shared" si="2"/>
        <v>10000</v>
      </c>
      <c r="K59" s="44">
        <f t="shared" si="3"/>
        <v>10250</v>
      </c>
      <c r="L59" s="44">
        <f t="shared" si="3"/>
        <v>10506.249999999998</v>
      </c>
    </row>
    <row r="60" spans="3:12">
      <c r="C60" s="50" t="s">
        <v>53</v>
      </c>
      <c r="D60" s="44">
        <v>9600</v>
      </c>
      <c r="E60" s="43"/>
      <c r="F60" s="50" t="s">
        <v>53</v>
      </c>
      <c r="G60" s="167">
        <f t="shared" si="4"/>
        <v>29526</v>
      </c>
      <c r="H60" s="42"/>
      <c r="I60" s="167">
        <f>'8. General Start Up Cost'!$F$27</f>
        <v>0</v>
      </c>
      <c r="J60" s="44">
        <f t="shared" si="2"/>
        <v>9600</v>
      </c>
      <c r="K60" s="44">
        <f t="shared" si="3"/>
        <v>9840</v>
      </c>
      <c r="L60" s="44">
        <f t="shared" si="3"/>
        <v>10086</v>
      </c>
    </row>
    <row r="61" spans="3:12">
      <c r="C61" s="41" t="s">
        <v>54</v>
      </c>
      <c r="D61" s="44">
        <v>5000</v>
      </c>
      <c r="E61" s="43"/>
      <c r="F61" s="50" t="s">
        <v>54</v>
      </c>
      <c r="G61" s="167">
        <f t="shared" si="4"/>
        <v>15378.125</v>
      </c>
      <c r="H61" s="42"/>
      <c r="I61" s="167">
        <f>'8. General Start Up Cost'!$F$28</f>
        <v>0</v>
      </c>
      <c r="J61" s="44">
        <f t="shared" si="2"/>
        <v>5000</v>
      </c>
      <c r="K61" s="44">
        <f t="shared" si="3"/>
        <v>5125</v>
      </c>
      <c r="L61" s="44">
        <f t="shared" si="3"/>
        <v>5253.1249999999991</v>
      </c>
    </row>
    <row r="62" spans="3:12">
      <c r="C62" s="41" t="s">
        <v>83</v>
      </c>
      <c r="D62" s="44">
        <v>0</v>
      </c>
      <c r="E62" s="43"/>
      <c r="F62" s="50" t="s">
        <v>55</v>
      </c>
      <c r="G62" s="167" t="e">
        <f t="shared" si="4"/>
        <v>#REF!</v>
      </c>
      <c r="H62" s="167" t="e">
        <f>IF(OR(#REF!="Apply to Tenancy Supports Tab 6",#REF!="Apply to All"),#REF!,0)</f>
        <v>#REF!</v>
      </c>
      <c r="I62" s="42"/>
      <c r="J62" s="44" t="e">
        <f>D62+H62</f>
        <v>#REF!</v>
      </c>
      <c r="K62" s="44" t="e">
        <f t="shared" si="3"/>
        <v>#REF!</v>
      </c>
      <c r="L62" s="44" t="e">
        <f t="shared" si="3"/>
        <v>#REF!</v>
      </c>
    </row>
    <row r="63" spans="3:12" ht="31">
      <c r="C63" s="50" t="s">
        <v>205</v>
      </c>
      <c r="D63" s="42">
        <f>D64*D65*D42*D66</f>
        <v>5650</v>
      </c>
      <c r="E63" s="133" t="s">
        <v>46</v>
      </c>
      <c r="F63" s="41" t="s">
        <v>56</v>
      </c>
      <c r="G63" s="42">
        <f>SUM(I63:L63)</f>
        <v>18100</v>
      </c>
      <c r="H63" s="42"/>
      <c r="I63" s="42"/>
      <c r="J63" s="42">
        <f t="shared" si="2"/>
        <v>5650</v>
      </c>
      <c r="K63" s="42">
        <f>K64*K65*249*K66</f>
        <v>6225</v>
      </c>
      <c r="L63" s="42">
        <f>L64*L65*249*L66</f>
        <v>6225</v>
      </c>
    </row>
    <row r="64" spans="3:12">
      <c r="C64" s="103" t="s">
        <v>57</v>
      </c>
      <c r="D64" s="100">
        <f>'3. Basic Input &amp; Assumptions'!H17</f>
        <v>0.625</v>
      </c>
      <c r="E64" s="133" t="s">
        <v>58</v>
      </c>
      <c r="F64" s="114" t="s">
        <v>57</v>
      </c>
      <c r="G64" s="203">
        <f>'3. Basic Input &amp; Assumptions'!$H$17</f>
        <v>0.625</v>
      </c>
      <c r="H64" s="169"/>
      <c r="I64" s="169"/>
      <c r="J64" s="52">
        <f>'3. Basic Input &amp; Assumptions'!H17</f>
        <v>0.625</v>
      </c>
      <c r="K64" s="52">
        <f>'3. Basic Input &amp; Assumptions'!H17</f>
        <v>0.625</v>
      </c>
      <c r="L64" s="52">
        <f>'3. Basic Input &amp; Assumptions'!H17</f>
        <v>0.625</v>
      </c>
    </row>
    <row r="65" spans="3:12">
      <c r="C65" s="104" t="s">
        <v>59</v>
      </c>
      <c r="D65" s="53">
        <v>20</v>
      </c>
      <c r="E65" s="54"/>
      <c r="F65" s="115" t="s">
        <v>59</v>
      </c>
      <c r="G65" s="204">
        <f>'3. Basic Input &amp; Assumptions'!$H$15</f>
        <v>20</v>
      </c>
      <c r="H65" s="170"/>
      <c r="I65" s="170"/>
      <c r="J65" s="53">
        <f t="shared" ref="J65:J76" si="5">D65</f>
        <v>20</v>
      </c>
      <c r="K65" s="53">
        <f>J65</f>
        <v>20</v>
      </c>
      <c r="L65" s="53">
        <f>K65</f>
        <v>20</v>
      </c>
    </row>
    <row r="66" spans="3:12" ht="29">
      <c r="C66" s="104" t="s">
        <v>60</v>
      </c>
      <c r="D66" s="53">
        <v>2</v>
      </c>
      <c r="E66" s="134" t="s">
        <v>91</v>
      </c>
      <c r="F66" s="115" t="s">
        <v>60</v>
      </c>
      <c r="G66" s="204">
        <f>AVERAGE(I66:L66)</f>
        <v>2</v>
      </c>
      <c r="H66" s="170"/>
      <c r="I66" s="170"/>
      <c r="J66" s="53">
        <f t="shared" si="5"/>
        <v>2</v>
      </c>
      <c r="K66" s="53">
        <f>J66</f>
        <v>2</v>
      </c>
      <c r="L66" s="53">
        <f>K66</f>
        <v>2</v>
      </c>
    </row>
    <row r="67" spans="3:12">
      <c r="C67" s="41" t="s">
        <v>61</v>
      </c>
      <c r="D67" s="44">
        <v>0</v>
      </c>
      <c r="E67" s="133"/>
      <c r="F67" s="50" t="s">
        <v>61</v>
      </c>
      <c r="G67" s="167">
        <f>SUM(I67:L67)</f>
        <v>0</v>
      </c>
      <c r="H67" s="42"/>
      <c r="I67" s="167">
        <f>'8. General Start Up Cost'!$F$29</f>
        <v>0</v>
      </c>
      <c r="J67" s="44">
        <f t="shared" si="5"/>
        <v>0</v>
      </c>
      <c r="K67" s="44">
        <f t="shared" ref="K67:L76" si="6">J67*(1+$G$94)</f>
        <v>0</v>
      </c>
      <c r="L67" s="44">
        <f t="shared" si="6"/>
        <v>0</v>
      </c>
    </row>
    <row r="68" spans="3:12">
      <c r="C68" s="41" t="s">
        <v>62</v>
      </c>
      <c r="D68" s="44">
        <v>0</v>
      </c>
      <c r="E68" s="43"/>
      <c r="F68" s="50" t="s">
        <v>62</v>
      </c>
      <c r="G68" s="167">
        <f t="shared" ref="G68:G76" si="7">SUM(I68:L68)</f>
        <v>0</v>
      </c>
      <c r="H68" s="42"/>
      <c r="I68" s="167">
        <f>'8. General Start Up Cost'!$F$30</f>
        <v>0</v>
      </c>
      <c r="J68" s="44">
        <f t="shared" si="5"/>
        <v>0</v>
      </c>
      <c r="K68" s="44">
        <f t="shared" si="6"/>
        <v>0</v>
      </c>
      <c r="L68" s="44">
        <f t="shared" si="6"/>
        <v>0</v>
      </c>
    </row>
    <row r="69" spans="3:12">
      <c r="C69" s="41" t="s">
        <v>63</v>
      </c>
      <c r="D69" s="44">
        <v>0</v>
      </c>
      <c r="E69" s="43"/>
      <c r="F69" s="50" t="s">
        <v>63</v>
      </c>
      <c r="G69" s="167">
        <f t="shared" si="7"/>
        <v>0</v>
      </c>
      <c r="H69" s="42"/>
      <c r="I69" s="42"/>
      <c r="J69" s="44">
        <f t="shared" si="5"/>
        <v>0</v>
      </c>
      <c r="K69" s="44">
        <f t="shared" si="6"/>
        <v>0</v>
      </c>
      <c r="L69" s="44">
        <f t="shared" si="6"/>
        <v>0</v>
      </c>
    </row>
    <row r="70" spans="3:12">
      <c r="C70" s="41" t="s">
        <v>64</v>
      </c>
      <c r="D70" s="44">
        <v>0</v>
      </c>
      <c r="E70" s="43"/>
      <c r="F70" s="50" t="s">
        <v>64</v>
      </c>
      <c r="G70" s="167">
        <f t="shared" si="7"/>
        <v>0</v>
      </c>
      <c r="H70" s="42"/>
      <c r="I70" s="42"/>
      <c r="J70" s="44">
        <f t="shared" si="5"/>
        <v>0</v>
      </c>
      <c r="K70" s="44">
        <f t="shared" si="6"/>
        <v>0</v>
      </c>
      <c r="L70" s="44">
        <f t="shared" si="6"/>
        <v>0</v>
      </c>
    </row>
    <row r="71" spans="3:12">
      <c r="C71" s="41" t="s">
        <v>65</v>
      </c>
      <c r="D71" s="44">
        <v>0</v>
      </c>
      <c r="E71" s="43"/>
      <c r="F71" s="50" t="s">
        <v>65</v>
      </c>
      <c r="G71" s="167">
        <f t="shared" si="7"/>
        <v>0</v>
      </c>
      <c r="H71" s="42"/>
      <c r="I71" s="167">
        <f>'8. General Start Up Cost'!$F$31</f>
        <v>0</v>
      </c>
      <c r="J71" s="44">
        <f t="shared" si="5"/>
        <v>0</v>
      </c>
      <c r="K71" s="44">
        <f t="shared" si="6"/>
        <v>0</v>
      </c>
      <c r="L71" s="44">
        <f t="shared" si="6"/>
        <v>0</v>
      </c>
    </row>
    <row r="72" spans="3:12" ht="46.5">
      <c r="C72" s="50" t="s">
        <v>66</v>
      </c>
      <c r="D72" s="44">
        <v>0</v>
      </c>
      <c r="E72" s="43"/>
      <c r="F72" s="50" t="s">
        <v>66</v>
      </c>
      <c r="G72" s="167" t="e">
        <f t="shared" si="7"/>
        <v>#REF!</v>
      </c>
      <c r="H72" s="167" t="e">
        <f>IF(OR(#REF!="Apply to Tenancy Supports Tab 6",#REF!="Apply to All"),SUM(#REF!),0)</f>
        <v>#REF!</v>
      </c>
      <c r="I72" s="167">
        <f>SUM('8. General Start Up Cost'!$F$33:$F$42)</f>
        <v>4300</v>
      </c>
      <c r="J72" s="44" t="e">
        <f>D72+H72</f>
        <v>#REF!</v>
      </c>
      <c r="K72" s="44" t="e">
        <f t="shared" si="6"/>
        <v>#REF!</v>
      </c>
      <c r="L72" s="44" t="e">
        <f t="shared" si="6"/>
        <v>#REF!</v>
      </c>
    </row>
    <row r="73" spans="3:12">
      <c r="C73" s="41" t="s">
        <v>68</v>
      </c>
      <c r="D73" s="44">
        <v>0</v>
      </c>
      <c r="E73" s="43"/>
      <c r="F73" s="50" t="s">
        <v>68</v>
      </c>
      <c r="G73" s="167">
        <f t="shared" si="7"/>
        <v>0</v>
      </c>
      <c r="H73" s="42"/>
      <c r="I73" s="42"/>
      <c r="J73" s="44">
        <f t="shared" si="5"/>
        <v>0</v>
      </c>
      <c r="K73" s="44">
        <f t="shared" si="6"/>
        <v>0</v>
      </c>
      <c r="L73" s="44">
        <f t="shared" si="6"/>
        <v>0</v>
      </c>
    </row>
    <row r="74" spans="3:12">
      <c r="C74" s="41" t="s">
        <v>69</v>
      </c>
      <c r="D74" s="44">
        <v>0</v>
      </c>
      <c r="E74" s="43"/>
      <c r="F74" s="50" t="s">
        <v>69</v>
      </c>
      <c r="G74" s="167">
        <f t="shared" si="7"/>
        <v>0</v>
      </c>
      <c r="H74" s="42"/>
      <c r="I74" s="42"/>
      <c r="J74" s="44">
        <f t="shared" si="5"/>
        <v>0</v>
      </c>
      <c r="K74" s="44">
        <f t="shared" si="6"/>
        <v>0</v>
      </c>
      <c r="L74" s="44">
        <f t="shared" si="6"/>
        <v>0</v>
      </c>
    </row>
    <row r="75" spans="3:12" ht="46.5">
      <c r="C75" s="50" t="s">
        <v>210</v>
      </c>
      <c r="D75" s="44">
        <v>8000</v>
      </c>
      <c r="E75" s="43"/>
      <c r="F75" s="50" t="s">
        <v>70</v>
      </c>
      <c r="G75" s="167" t="e">
        <f t="shared" si="7"/>
        <v>#REF!</v>
      </c>
      <c r="H75" s="167" t="e">
        <f>IF(OR(#REF!="Apply to Tenancy Supports Tab 6",#REF!="Apply to All"),SUM(#REF!),0)</f>
        <v>#REF!</v>
      </c>
      <c r="I75" s="167">
        <f>SUM('8. General Start Up Cost'!$F$46:$F$49)</f>
        <v>36400</v>
      </c>
      <c r="J75" s="44" t="e">
        <f>D75+H75</f>
        <v>#REF!</v>
      </c>
      <c r="K75" s="44" t="e">
        <f t="shared" si="6"/>
        <v>#REF!</v>
      </c>
      <c r="L75" s="44" t="e">
        <f t="shared" si="6"/>
        <v>#REF!</v>
      </c>
    </row>
    <row r="76" spans="3:12">
      <c r="C76" s="55" t="s">
        <v>71</v>
      </c>
      <c r="D76" s="45">
        <v>0</v>
      </c>
      <c r="E76" s="43"/>
      <c r="F76" s="55" t="s">
        <v>71</v>
      </c>
      <c r="G76" s="168">
        <f t="shared" si="7"/>
        <v>0</v>
      </c>
      <c r="H76" s="197"/>
      <c r="I76" s="58"/>
      <c r="J76" s="45">
        <f t="shared" si="5"/>
        <v>0</v>
      </c>
      <c r="K76" s="45">
        <f t="shared" si="6"/>
        <v>0</v>
      </c>
      <c r="L76" s="45">
        <f t="shared" si="6"/>
        <v>0</v>
      </c>
    </row>
    <row r="77" spans="3:12">
      <c r="C77" s="56" t="s">
        <v>72</v>
      </c>
      <c r="D77" s="39">
        <f>SUM(D56:D76)</f>
        <v>108772.625</v>
      </c>
      <c r="E77" s="43"/>
      <c r="F77" s="56" t="s">
        <v>72</v>
      </c>
      <c r="G77" s="39" t="e">
        <f>SUM(I77:L77)</f>
        <v>#REF!</v>
      </c>
      <c r="H77" s="39" t="e">
        <f>SUM(H56:H76)</f>
        <v>#REF!</v>
      </c>
      <c r="I77" s="39">
        <f>SUM(I56:I76)</f>
        <v>51700</v>
      </c>
      <c r="J77" s="39" t="e">
        <f>SUM(J56:J76)</f>
        <v>#REF!</v>
      </c>
      <c r="K77" s="39" t="e">
        <f>SUM(K56:K76)</f>
        <v>#REF!</v>
      </c>
      <c r="L77" s="39" t="e">
        <f>SUM(L56:L76)</f>
        <v>#REF!</v>
      </c>
    </row>
    <row r="78" spans="3:12">
      <c r="C78" s="48"/>
      <c r="D78" s="42"/>
      <c r="E78" s="43"/>
      <c r="F78" s="48"/>
      <c r="G78" s="42"/>
      <c r="H78" s="42"/>
      <c r="I78" s="42"/>
      <c r="J78" s="42"/>
      <c r="K78" s="42"/>
      <c r="L78" s="42"/>
    </row>
    <row r="79" spans="3:12">
      <c r="C79" s="110" t="s">
        <v>73</v>
      </c>
      <c r="D79" s="42">
        <f>D53+D77</f>
        <v>600563.02500000002</v>
      </c>
      <c r="E79" s="43"/>
      <c r="F79" s="110" t="s">
        <v>73</v>
      </c>
      <c r="G79" s="42" t="e">
        <f>SUM(I79:L79)</f>
        <v>#REF!</v>
      </c>
      <c r="H79" s="167" t="e">
        <f>SUM(H53,H77)</f>
        <v>#REF!</v>
      </c>
      <c r="I79" s="167">
        <f>SUM(I53,I77)</f>
        <v>56200</v>
      </c>
      <c r="J79" s="42" t="e">
        <f>J53+J77</f>
        <v>#REF!</v>
      </c>
      <c r="K79" s="42" t="e">
        <f>K53+K77</f>
        <v>#REF!</v>
      </c>
      <c r="L79" s="42" t="e">
        <f>L53+L77</f>
        <v>#REF!</v>
      </c>
    </row>
    <row r="80" spans="3:12">
      <c r="C80" s="112" t="s">
        <v>74</v>
      </c>
      <c r="D80" s="58">
        <f>D79*('3. Basic Input &amp; Assumptions'!H14)</f>
        <v>90084.453750000001</v>
      </c>
      <c r="E80" s="43"/>
      <c r="F80" s="112" t="s">
        <v>74</v>
      </c>
      <c r="G80" s="58" t="e">
        <f>SUM(I80:L80)</f>
        <v>#REF!</v>
      </c>
      <c r="H80" s="168" t="e">
        <f>H79*'3. Basic Input &amp; Assumptions'!$H$14</f>
        <v>#REF!</v>
      </c>
      <c r="I80" s="168">
        <f>I79*'3. Basic Input &amp; Assumptions'!$H$14</f>
        <v>8430</v>
      </c>
      <c r="J80" s="58" t="e">
        <f>J79*('3. Basic Input &amp; Assumptions'!$H$14)</f>
        <v>#REF!</v>
      </c>
      <c r="K80" s="58" t="e">
        <f>K79*('3. Basic Input &amp; Assumptions'!$H$14)</f>
        <v>#REF!</v>
      </c>
      <c r="L80" s="58" t="e">
        <f>L79*('3. Basic Input &amp; Assumptions'!H14)</f>
        <v>#REF!</v>
      </c>
    </row>
    <row r="81" spans="3:12">
      <c r="C81" s="111" t="s">
        <v>136</v>
      </c>
      <c r="D81" s="39">
        <f>D79+D80</f>
        <v>690647.47875000001</v>
      </c>
      <c r="E81" s="43"/>
      <c r="F81" s="111" t="s">
        <v>136</v>
      </c>
      <c r="G81" s="39" t="e">
        <f>SUM(I81:L81)</f>
        <v>#REF!</v>
      </c>
      <c r="H81" s="171" t="e">
        <f>SUM(H79:H80)</f>
        <v>#REF!</v>
      </c>
      <c r="I81" s="171">
        <f>SUM(I79:I80)</f>
        <v>64630</v>
      </c>
      <c r="J81" s="39" t="e">
        <f>J79+J80</f>
        <v>#REF!</v>
      </c>
      <c r="K81" s="39" t="e">
        <f>K79+K80</f>
        <v>#REF!</v>
      </c>
      <c r="L81" s="39" t="e">
        <f>L79+L80</f>
        <v>#REF!</v>
      </c>
    </row>
    <row r="82" spans="3:12">
      <c r="C82" s="111"/>
      <c r="D82" s="42"/>
      <c r="E82" s="43"/>
      <c r="F82" s="111"/>
      <c r="G82" s="42"/>
      <c r="H82" s="42"/>
      <c r="I82" s="42"/>
      <c r="J82" s="42"/>
      <c r="K82" s="42"/>
      <c r="L82" s="42"/>
    </row>
    <row r="83" spans="3:12">
      <c r="C83" s="110" t="s">
        <v>137</v>
      </c>
      <c r="D83" s="42"/>
      <c r="E83" s="40"/>
      <c r="F83" s="110" t="s">
        <v>137</v>
      </c>
      <c r="G83" s="42"/>
      <c r="H83" s="42"/>
      <c r="I83" s="42"/>
      <c r="J83" s="42"/>
      <c r="K83" s="42"/>
      <c r="L83" s="42"/>
    </row>
    <row r="84" spans="3:12" ht="31">
      <c r="C84" s="179" t="s">
        <v>228</v>
      </c>
      <c r="D84" s="44">
        <v>0</v>
      </c>
      <c r="E84" s="40"/>
      <c r="F84" s="179" t="s">
        <v>75</v>
      </c>
      <c r="G84" s="167">
        <f t="shared" ref="G84:G90" si="8">SUM(I84:L84)</f>
        <v>0</v>
      </c>
      <c r="H84" s="44"/>
      <c r="I84" s="44">
        <v>0</v>
      </c>
      <c r="J84" s="44">
        <f>D84</f>
        <v>0</v>
      </c>
      <c r="K84" s="44">
        <f>J84</f>
        <v>0</v>
      </c>
      <c r="L84" s="44">
        <f>K84</f>
        <v>0</v>
      </c>
    </row>
    <row r="85" spans="3:12">
      <c r="C85" s="41" t="s">
        <v>76</v>
      </c>
      <c r="D85" s="44">
        <v>0</v>
      </c>
      <c r="E85" s="40"/>
      <c r="F85" s="41" t="s">
        <v>76</v>
      </c>
      <c r="G85" s="167">
        <f t="shared" si="8"/>
        <v>0</v>
      </c>
      <c r="H85" s="44"/>
      <c r="I85" s="44">
        <v>0</v>
      </c>
      <c r="J85" s="44">
        <f t="shared" ref="J85:J90" si="9">D85</f>
        <v>0</v>
      </c>
      <c r="K85" s="44">
        <f t="shared" ref="K85:L89" si="10">J85</f>
        <v>0</v>
      </c>
      <c r="L85" s="44">
        <f t="shared" si="10"/>
        <v>0</v>
      </c>
    </row>
    <row r="86" spans="3:12">
      <c r="C86" s="41" t="s">
        <v>77</v>
      </c>
      <c r="D86" s="44">
        <v>0</v>
      </c>
      <c r="E86" s="40"/>
      <c r="F86" s="41" t="s">
        <v>77</v>
      </c>
      <c r="G86" s="167">
        <f t="shared" si="8"/>
        <v>0</v>
      </c>
      <c r="H86" s="44"/>
      <c r="I86" s="44">
        <v>0</v>
      </c>
      <c r="J86" s="44">
        <f t="shared" si="9"/>
        <v>0</v>
      </c>
      <c r="K86" s="44">
        <f t="shared" si="10"/>
        <v>0</v>
      </c>
      <c r="L86" s="44">
        <f t="shared" si="10"/>
        <v>0</v>
      </c>
    </row>
    <row r="87" spans="3:12">
      <c r="C87" s="50" t="s">
        <v>203</v>
      </c>
      <c r="D87" s="44">
        <v>0</v>
      </c>
      <c r="E87" s="40"/>
      <c r="F87" s="50" t="s">
        <v>203</v>
      </c>
      <c r="G87" s="167">
        <f t="shared" si="8"/>
        <v>0</v>
      </c>
      <c r="H87" s="44"/>
      <c r="I87" s="44">
        <v>0</v>
      </c>
      <c r="J87" s="44">
        <f t="shared" si="9"/>
        <v>0</v>
      </c>
      <c r="K87" s="44">
        <f t="shared" si="10"/>
        <v>0</v>
      </c>
      <c r="L87" s="44">
        <f t="shared" si="10"/>
        <v>0</v>
      </c>
    </row>
    <row r="88" spans="3:12">
      <c r="C88" s="50" t="s">
        <v>202</v>
      </c>
      <c r="D88" s="44">
        <v>0</v>
      </c>
      <c r="E88" s="40"/>
      <c r="F88" s="50" t="s">
        <v>202</v>
      </c>
      <c r="G88" s="167">
        <f t="shared" si="8"/>
        <v>0</v>
      </c>
      <c r="H88" s="44"/>
      <c r="I88" s="44">
        <v>0</v>
      </c>
      <c r="J88" s="44">
        <f t="shared" si="9"/>
        <v>0</v>
      </c>
      <c r="K88" s="44">
        <f t="shared" si="10"/>
        <v>0</v>
      </c>
      <c r="L88" s="44">
        <f t="shared" si="10"/>
        <v>0</v>
      </c>
    </row>
    <row r="89" spans="3:12">
      <c r="C89" s="60" t="s">
        <v>78</v>
      </c>
      <c r="D89" s="45">
        <v>0</v>
      </c>
      <c r="E89" s="40"/>
      <c r="F89" s="60" t="s">
        <v>78</v>
      </c>
      <c r="G89" s="168">
        <f t="shared" si="8"/>
        <v>0</v>
      </c>
      <c r="H89" s="45"/>
      <c r="I89" s="45">
        <v>0</v>
      </c>
      <c r="J89" s="45">
        <f t="shared" si="9"/>
        <v>0</v>
      </c>
      <c r="K89" s="45">
        <f t="shared" si="10"/>
        <v>0</v>
      </c>
      <c r="L89" s="45">
        <f t="shared" si="10"/>
        <v>0</v>
      </c>
    </row>
    <row r="90" spans="3:12">
      <c r="C90" s="178" t="s">
        <v>86</v>
      </c>
      <c r="D90" s="206">
        <f>SUM(D84:D89)</f>
        <v>0</v>
      </c>
      <c r="E90" s="40"/>
      <c r="F90" s="201" t="s">
        <v>86</v>
      </c>
      <c r="G90" s="205">
        <f t="shared" si="8"/>
        <v>0</v>
      </c>
      <c r="H90" s="205"/>
      <c r="I90" s="205">
        <f>SUM(I84:I89)</f>
        <v>0</v>
      </c>
      <c r="J90" s="205">
        <f t="shared" si="9"/>
        <v>0</v>
      </c>
      <c r="K90" s="205">
        <f>SUM(K85:K89)</f>
        <v>0</v>
      </c>
      <c r="L90" s="205">
        <f>SUM(L85:L89)</f>
        <v>0</v>
      </c>
    </row>
    <row r="91" spans="3:12">
      <c r="C91" s="61"/>
      <c r="D91" s="62"/>
      <c r="E91" s="40"/>
      <c r="F91" s="199"/>
      <c r="G91" s="200"/>
      <c r="H91" s="200"/>
      <c r="I91" s="200"/>
      <c r="J91" s="200"/>
      <c r="K91" s="200"/>
      <c r="L91" s="200"/>
    </row>
    <row r="92" spans="3:12">
      <c r="C92" s="113" t="s">
        <v>138</v>
      </c>
      <c r="D92" s="64">
        <f>D90-D81</f>
        <v>-690647.47875000001</v>
      </c>
      <c r="E92" s="40"/>
      <c r="F92" s="113" t="s">
        <v>138</v>
      </c>
      <c r="G92" s="64" t="e">
        <f>SUM(I92:L92)</f>
        <v>#REF!</v>
      </c>
      <c r="H92" s="64"/>
      <c r="I92" s="64">
        <f>I90-I81</f>
        <v>-64630</v>
      </c>
      <c r="J92" s="64" t="e">
        <f>J90-J81</f>
        <v>#REF!</v>
      </c>
      <c r="K92" s="64" t="e">
        <f>K90-K81</f>
        <v>#REF!</v>
      </c>
      <c r="L92" s="64" t="e">
        <f>L90-L81</f>
        <v>#REF!</v>
      </c>
    </row>
    <row r="94" spans="3:12">
      <c r="F94" s="10" t="s">
        <v>80</v>
      </c>
      <c r="G94" s="65">
        <f>'3. Basic Input &amp; Assumptions'!H18</f>
        <v>2.5000000000000001E-2</v>
      </c>
      <c r="H94" s="65"/>
      <c r="I94" s="65"/>
    </row>
  </sheetData>
  <sheetProtection selectLockedCells="1"/>
  <mergeCells count="23">
    <mergeCell ref="D1:I1"/>
    <mergeCell ref="E34:G34"/>
    <mergeCell ref="C16:H16"/>
    <mergeCell ref="C15:H15"/>
    <mergeCell ref="C7:G7"/>
    <mergeCell ref="B8:D8"/>
    <mergeCell ref="C9:H10"/>
    <mergeCell ref="F24:J24"/>
    <mergeCell ref="F30:J30"/>
    <mergeCell ref="C6:G6"/>
    <mergeCell ref="E40:G40"/>
    <mergeCell ref="C46:D46"/>
    <mergeCell ref="E35:G35"/>
    <mergeCell ref="F45:L45"/>
    <mergeCell ref="C17:G18"/>
    <mergeCell ref="E36:G36"/>
    <mergeCell ref="E37:G37"/>
    <mergeCell ref="E38:G38"/>
    <mergeCell ref="E39:G39"/>
    <mergeCell ref="F20:J20"/>
    <mergeCell ref="F21:J21"/>
    <mergeCell ref="F23:J23"/>
    <mergeCell ref="E33:G33"/>
  </mergeCells>
  <dataValidations count="2">
    <dataValidation type="whole" allowBlank="1" showInputMessage="1" showErrorMessage="1" sqref="F12:F13 D12" xr:uid="{00000000-0002-0000-0500-000000000000}">
      <formula1>0</formula1>
      <formula2>100000</formula2>
    </dataValidation>
    <dataValidation allowBlank="1" showDropDown="1" showInputMessage="1" showErrorMessage="1" sqref="C12" xr:uid="{00000000-0002-0000-0500-000001000000}"/>
  </dataValidations>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B1:V87"/>
  <sheetViews>
    <sheetView showGridLines="0" zoomScale="75" zoomScaleNormal="75" workbookViewId="0">
      <selection activeCell="E14" sqref="E14"/>
    </sheetView>
  </sheetViews>
  <sheetFormatPr defaultColWidth="9.1796875" defaultRowHeight="15.5"/>
  <cols>
    <col min="1" max="1" width="8.984375E-2" style="4" customWidth="1"/>
    <col min="2" max="2" width="2.81640625" style="4" hidden="1" customWidth="1"/>
    <col min="3" max="3" width="37.6328125" style="4" customWidth="1"/>
    <col min="4" max="4" width="21" style="4" customWidth="1"/>
    <col min="5" max="5" width="38.81640625" style="4" customWidth="1"/>
    <col min="6" max="6" width="21.453125" style="10" customWidth="1"/>
    <col min="7" max="7" width="28.1796875" style="8" customWidth="1"/>
    <col min="8" max="8" width="28.81640625" style="8" customWidth="1"/>
    <col min="9" max="9" width="25.36328125" style="8" customWidth="1"/>
    <col min="10" max="11" width="25.36328125" style="4" customWidth="1"/>
    <col min="12" max="12" width="25.1796875" style="4" customWidth="1"/>
    <col min="13" max="13" width="9.1796875" style="4" customWidth="1"/>
    <col min="14" max="14" width="24.36328125" style="4" customWidth="1"/>
    <col min="15" max="15" width="21.6328125" style="4" customWidth="1"/>
    <col min="16" max="16" width="17" style="4" customWidth="1"/>
    <col min="17" max="17" width="19.6328125" style="4" customWidth="1"/>
    <col min="18" max="16384" width="9.1796875" style="4"/>
  </cols>
  <sheetData>
    <row r="1" spans="2:21" ht="96.5" customHeight="1">
      <c r="E1" s="348"/>
      <c r="F1" s="348"/>
      <c r="G1" s="348"/>
      <c r="H1" s="348"/>
      <c r="I1" s="348"/>
      <c r="J1" s="348"/>
    </row>
    <row r="2" spans="2:21" s="3" customFormat="1">
      <c r="B2" s="1"/>
      <c r="C2" s="2"/>
      <c r="D2" s="2"/>
    </row>
    <row r="3" spans="2:21" ht="36" customHeight="1">
      <c r="C3" s="300" t="s">
        <v>227</v>
      </c>
      <c r="D3" s="6"/>
      <c r="E3" s="6"/>
      <c r="F3" s="7"/>
    </row>
    <row r="4" spans="2:21" ht="25.5" customHeight="1">
      <c r="C4" s="226" t="s">
        <v>212</v>
      </c>
    </row>
    <row r="5" spans="2:21">
      <c r="C5" s="9" t="s">
        <v>191</v>
      </c>
    </row>
    <row r="6" spans="2:21" ht="168.5" customHeight="1">
      <c r="C6" s="349" t="s">
        <v>361</v>
      </c>
      <c r="D6" s="350"/>
      <c r="E6" s="350"/>
      <c r="F6" s="350"/>
      <c r="G6" s="350"/>
      <c r="H6" s="227"/>
      <c r="I6" s="151"/>
    </row>
    <row r="7" spans="2:21" ht="164" customHeight="1">
      <c r="C7" s="349" t="s">
        <v>362</v>
      </c>
      <c r="D7" s="350"/>
      <c r="E7" s="349" t="s">
        <v>378</v>
      </c>
      <c r="F7" s="350"/>
      <c r="G7" s="164"/>
      <c r="H7" s="227"/>
      <c r="I7" s="151"/>
    </row>
    <row r="8" spans="2:21" s="395" customFormat="1" ht="30.5" customHeight="1">
      <c r="C8" s="396" t="s">
        <v>424</v>
      </c>
    </row>
    <row r="9" spans="2:21" ht="23.5" customHeight="1">
      <c r="B9" s="381" t="s">
        <v>211</v>
      </c>
      <c r="C9" s="381"/>
      <c r="D9" s="381"/>
      <c r="E9" s="164"/>
      <c r="F9" s="164"/>
      <c r="G9" s="164"/>
      <c r="H9" s="227"/>
      <c r="I9" s="151"/>
    </row>
    <row r="10" spans="2:21" ht="15.5" customHeight="1">
      <c r="C10" s="358" t="s">
        <v>213</v>
      </c>
      <c r="D10" s="358"/>
      <c r="E10" s="358"/>
      <c r="F10" s="358"/>
      <c r="G10" s="358"/>
      <c r="H10" s="358"/>
      <c r="N10" s="11"/>
    </row>
    <row r="11" spans="2:21">
      <c r="C11" s="358"/>
      <c r="D11" s="358"/>
      <c r="E11" s="358"/>
      <c r="F11" s="358"/>
      <c r="G11" s="358"/>
      <c r="H11" s="358"/>
      <c r="J11" s="4" t="s">
        <v>87</v>
      </c>
    </row>
    <row r="12" spans="2:21">
      <c r="C12" s="12"/>
      <c r="D12" s="12" t="s">
        <v>209</v>
      </c>
      <c r="E12" s="229"/>
      <c r="F12" s="233"/>
      <c r="G12" s="93"/>
      <c r="H12" s="93"/>
      <c r="I12" s="93"/>
      <c r="J12" s="14"/>
    </row>
    <row r="13" spans="2:21">
      <c r="B13" s="15"/>
      <c r="C13" s="289" t="s">
        <v>195</v>
      </c>
      <c r="D13" s="211">
        <v>17</v>
      </c>
      <c r="E13" s="234"/>
      <c r="F13" s="36"/>
      <c r="G13" s="177"/>
      <c r="H13" s="177"/>
      <c r="I13" s="177"/>
      <c r="J13" s="18" t="e">
        <f>IF(D13&gt;0,D13/E13,0)+IF(F13&gt;0,F13/G13,0)</f>
        <v>#DIV/0!</v>
      </c>
    </row>
    <row r="15" spans="2:21" ht="35" customHeight="1">
      <c r="C15" s="350" t="s">
        <v>200</v>
      </c>
      <c r="D15" s="350"/>
      <c r="E15" s="350"/>
      <c r="F15" s="350"/>
      <c r="G15" s="350"/>
      <c r="H15" s="350"/>
    </row>
    <row r="16" spans="2:21" ht="49.5" customHeight="1">
      <c r="C16" s="350" t="s">
        <v>335</v>
      </c>
      <c r="D16" s="350"/>
      <c r="E16" s="350"/>
      <c r="F16" s="350"/>
      <c r="G16" s="350"/>
      <c r="H16" s="350"/>
      <c r="N16" s="11"/>
      <c r="R16" s="9"/>
      <c r="S16" s="9"/>
      <c r="T16" s="9"/>
      <c r="U16" s="9"/>
    </row>
    <row r="17" spans="3:22">
      <c r="C17" s="358" t="s">
        <v>230</v>
      </c>
      <c r="D17" s="358"/>
      <c r="E17" s="358"/>
      <c r="F17" s="164"/>
      <c r="G17" s="164"/>
      <c r="H17" s="166"/>
      <c r="I17" s="166"/>
    </row>
    <row r="18" spans="3:22" ht="15.5" customHeight="1">
      <c r="C18" s="166"/>
      <c r="D18" s="166"/>
      <c r="E18" s="166"/>
      <c r="F18" s="384" t="s">
        <v>322</v>
      </c>
      <c r="G18" s="383" t="s">
        <v>327</v>
      </c>
      <c r="H18" s="386" t="s">
        <v>325</v>
      </c>
      <c r="I18" s="166"/>
    </row>
    <row r="19" spans="3:22" ht="61" customHeight="1">
      <c r="D19" s="21" t="s">
        <v>19</v>
      </c>
      <c r="E19" s="21" t="s">
        <v>20</v>
      </c>
      <c r="F19" s="384"/>
      <c r="G19" s="383"/>
      <c r="H19" s="386"/>
      <c r="K19" s="21"/>
    </row>
    <row r="20" spans="3:22" ht="31">
      <c r="C20" s="301" t="s">
        <v>349</v>
      </c>
      <c r="D20" s="23">
        <v>1</v>
      </c>
      <c r="E20" s="276">
        <v>160000</v>
      </c>
      <c r="F20" s="385" t="s">
        <v>10</v>
      </c>
      <c r="G20" s="259">
        <v>0</v>
      </c>
      <c r="H20" s="286">
        <f>G20*E20</f>
        <v>0</v>
      </c>
      <c r="I20" s="274"/>
      <c r="J20" s="274"/>
    </row>
    <row r="21" spans="3:22">
      <c r="C21" s="302" t="s">
        <v>351</v>
      </c>
      <c r="D21" s="23">
        <v>1</v>
      </c>
      <c r="E21" s="276">
        <v>80000</v>
      </c>
      <c r="F21" s="385"/>
      <c r="G21" s="259">
        <v>1</v>
      </c>
      <c r="H21" s="286">
        <f>G21*E21</f>
        <v>80000</v>
      </c>
      <c r="I21" s="275"/>
      <c r="J21" s="275"/>
    </row>
    <row r="22" spans="3:22">
      <c r="C22" s="302" t="s">
        <v>354</v>
      </c>
      <c r="D22" s="23">
        <v>1</v>
      </c>
      <c r="E22" s="276">
        <v>70000</v>
      </c>
      <c r="F22" s="385"/>
      <c r="G22" s="260">
        <v>0.4</v>
      </c>
      <c r="H22" s="286">
        <f t="shared" ref="H22:H29" si="0">G22*E22</f>
        <v>28000</v>
      </c>
      <c r="I22" s="162"/>
      <c r="J22" s="162"/>
    </row>
    <row r="23" spans="3:22">
      <c r="C23" s="22" t="s">
        <v>235</v>
      </c>
      <c r="D23" s="23">
        <v>1</v>
      </c>
      <c r="E23" s="276">
        <v>64000</v>
      </c>
      <c r="F23" s="385"/>
      <c r="G23" s="260">
        <v>0</v>
      </c>
      <c r="H23" s="286">
        <f t="shared" si="0"/>
        <v>0</v>
      </c>
      <c r="I23" s="162"/>
      <c r="J23" s="162"/>
    </row>
    <row r="24" spans="3:22">
      <c r="C24" s="22" t="s">
        <v>169</v>
      </c>
      <c r="D24" s="23">
        <v>1</v>
      </c>
      <c r="E24" s="276">
        <v>55000</v>
      </c>
      <c r="F24" s="385"/>
      <c r="G24" s="257">
        <v>0</v>
      </c>
      <c r="H24" s="286">
        <f t="shared" si="0"/>
        <v>0</v>
      </c>
      <c r="I24" s="162"/>
      <c r="J24" s="162"/>
    </row>
    <row r="25" spans="3:22">
      <c r="C25" s="22" t="s">
        <v>170</v>
      </c>
      <c r="D25" s="23">
        <v>0</v>
      </c>
      <c r="E25" s="276">
        <v>0</v>
      </c>
      <c r="F25" s="385"/>
      <c r="G25" s="257">
        <v>0</v>
      </c>
      <c r="H25" s="286">
        <f t="shared" si="0"/>
        <v>0</v>
      </c>
      <c r="L25" s="26"/>
      <c r="M25" s="26"/>
    </row>
    <row r="26" spans="3:22">
      <c r="C26" s="302" t="s">
        <v>352</v>
      </c>
      <c r="D26" s="23">
        <v>0</v>
      </c>
      <c r="E26" s="276">
        <v>0</v>
      </c>
      <c r="F26" s="385"/>
      <c r="G26" s="259">
        <v>0</v>
      </c>
      <c r="H26" s="286">
        <f t="shared" si="0"/>
        <v>0</v>
      </c>
      <c r="L26" s="26"/>
      <c r="M26" s="26"/>
    </row>
    <row r="27" spans="3:22">
      <c r="C27" s="302" t="s">
        <v>353</v>
      </c>
      <c r="D27" s="23">
        <v>0</v>
      </c>
      <c r="E27" s="276">
        <v>0</v>
      </c>
      <c r="F27" s="385"/>
      <c r="G27" s="259">
        <v>0</v>
      </c>
      <c r="H27" s="286">
        <f t="shared" si="0"/>
        <v>0</v>
      </c>
      <c r="L27" s="26"/>
      <c r="M27" s="26"/>
    </row>
    <row r="28" spans="3:22">
      <c r="C28" s="302" t="s">
        <v>355</v>
      </c>
      <c r="D28" s="23">
        <v>0</v>
      </c>
      <c r="E28" s="276">
        <v>0</v>
      </c>
      <c r="F28" s="385"/>
      <c r="G28" s="260">
        <v>0</v>
      </c>
      <c r="H28" s="286">
        <f t="shared" si="0"/>
        <v>0</v>
      </c>
      <c r="L28" s="26"/>
      <c r="M28" s="26"/>
    </row>
    <row r="29" spans="3:22" ht="46.5">
      <c r="C29" s="25" t="s">
        <v>206</v>
      </c>
      <c r="D29" s="23">
        <v>3</v>
      </c>
      <c r="E29" s="276">
        <v>45000</v>
      </c>
      <c r="F29" s="385"/>
      <c r="G29" s="260">
        <v>0</v>
      </c>
      <c r="H29" s="286">
        <f t="shared" si="0"/>
        <v>0</v>
      </c>
      <c r="L29" s="26"/>
      <c r="M29" s="26"/>
    </row>
    <row r="30" spans="3:22">
      <c r="C30" s="11"/>
      <c r="D30" s="238"/>
      <c r="G30" s="270" t="s">
        <v>332</v>
      </c>
      <c r="H30" s="273">
        <f>SUM(H20:H29)</f>
        <v>108000</v>
      </c>
    </row>
    <row r="31" spans="3:22" ht="35.5" customHeight="1">
      <c r="C31" s="350" t="s">
        <v>226</v>
      </c>
      <c r="D31" s="350"/>
      <c r="E31" s="350"/>
      <c r="F31" s="350"/>
      <c r="G31" s="350"/>
      <c r="H31" s="350"/>
      <c r="N31" s="11"/>
      <c r="R31" s="9"/>
      <c r="S31" s="9"/>
      <c r="T31" s="9"/>
      <c r="U31" s="9"/>
    </row>
    <row r="32" spans="3:22" ht="35" customHeight="1">
      <c r="C32" s="350" t="s">
        <v>326</v>
      </c>
      <c r="D32" s="350"/>
      <c r="E32" s="350"/>
      <c r="F32" s="350"/>
      <c r="G32" s="350"/>
      <c r="H32" s="350"/>
      <c r="I32" s="240"/>
      <c r="J32" s="240"/>
      <c r="O32" s="11"/>
      <c r="S32" s="9"/>
      <c r="T32" s="9"/>
      <c r="U32" s="9"/>
      <c r="V32" s="9"/>
    </row>
    <row r="33" spans="3:12">
      <c r="C33" s="10"/>
      <c r="D33" s="36"/>
    </row>
    <row r="34" spans="3:12">
      <c r="C34" s="9" t="s">
        <v>36</v>
      </c>
      <c r="F34" s="11"/>
    </row>
    <row r="35" spans="3:12">
      <c r="F35" s="354" t="s">
        <v>418</v>
      </c>
      <c r="G35" s="355"/>
      <c r="H35" s="355"/>
      <c r="I35" s="355"/>
      <c r="J35" s="355"/>
      <c r="K35" s="355"/>
      <c r="L35" s="356"/>
    </row>
    <row r="36" spans="3:12" ht="33.75" customHeight="1">
      <c r="C36" s="351" t="s">
        <v>414</v>
      </c>
      <c r="D36" s="352"/>
      <c r="E36" s="37"/>
      <c r="F36" s="152"/>
      <c r="G36" s="153" t="s">
        <v>16</v>
      </c>
      <c r="H36" s="153" t="s">
        <v>131</v>
      </c>
      <c r="I36" s="153" t="s">
        <v>37</v>
      </c>
      <c r="J36" s="153" t="s">
        <v>38</v>
      </c>
      <c r="K36" s="153" t="s">
        <v>39</v>
      </c>
    </row>
    <row r="37" spans="3:12" ht="31">
      <c r="C37" s="111" t="s">
        <v>40</v>
      </c>
      <c r="D37" s="39"/>
      <c r="E37" s="40"/>
      <c r="F37" s="106" t="s">
        <v>40</v>
      </c>
      <c r="G37" s="39"/>
      <c r="H37" s="39"/>
      <c r="I37" s="39"/>
      <c r="J37" s="39"/>
      <c r="K37" s="39"/>
    </row>
    <row r="38" spans="3:12">
      <c r="C38" s="41" t="s">
        <v>41</v>
      </c>
      <c r="D38" s="42">
        <f>SUMPRODUCT(D20:D29,E20:E29)</f>
        <v>564000</v>
      </c>
      <c r="E38" s="43"/>
      <c r="F38" s="50" t="s">
        <v>41</v>
      </c>
      <c r="G38" s="42">
        <f t="shared" ref="G38:G43" si="1">SUM(H38:K38)</f>
        <v>1734652.5</v>
      </c>
      <c r="H38" s="42"/>
      <c r="I38" s="42">
        <f>D38</f>
        <v>564000</v>
      </c>
      <c r="J38" s="42">
        <f>I38*(1+$G$84)</f>
        <v>578100</v>
      </c>
      <c r="K38" s="42">
        <f>J38*(1+$G$84)</f>
        <v>592552.5</v>
      </c>
    </row>
    <row r="39" spans="3:12">
      <c r="C39" s="41" t="s">
        <v>42</v>
      </c>
      <c r="D39" s="42">
        <f>D38*'3. Basic Input &amp; Assumptions'!$H$20</f>
        <v>159386.40000000002</v>
      </c>
      <c r="E39" s="43"/>
      <c r="F39" s="50" t="s">
        <v>42</v>
      </c>
      <c r="G39" s="42">
        <f t="shared" si="1"/>
        <v>490212.79650000005</v>
      </c>
      <c r="H39" s="42"/>
      <c r="I39" s="42">
        <f>I38*'3. Basic Input &amp; Assumptions'!$H$20</f>
        <v>159386.40000000002</v>
      </c>
      <c r="J39" s="42">
        <f>J38*'3. Basic Input &amp; Assumptions'!$H$20</f>
        <v>163371.06</v>
      </c>
      <c r="K39" s="42">
        <f>K38*'3. Basic Input &amp; Assumptions'!$H$20</f>
        <v>167455.3365</v>
      </c>
    </row>
    <row r="40" spans="3:12">
      <c r="C40" s="41" t="s">
        <v>43</v>
      </c>
      <c r="D40" s="44"/>
      <c r="E40" s="43"/>
      <c r="F40" s="50" t="s">
        <v>43</v>
      </c>
      <c r="G40" s="44">
        <f t="shared" si="1"/>
        <v>0</v>
      </c>
      <c r="H40" s="42"/>
      <c r="I40" s="44">
        <f>D40</f>
        <v>0</v>
      </c>
      <c r="J40" s="44">
        <f t="shared" ref="J40:K42" si="2">I40*(1+$G$84)</f>
        <v>0</v>
      </c>
      <c r="K40" s="44">
        <f t="shared" si="2"/>
        <v>0</v>
      </c>
    </row>
    <row r="41" spans="3:12" ht="31">
      <c r="C41" s="41" t="s">
        <v>44</v>
      </c>
      <c r="D41" s="44"/>
      <c r="E41" s="43"/>
      <c r="F41" s="50" t="s">
        <v>44</v>
      </c>
      <c r="G41" s="44">
        <f t="shared" si="1"/>
        <v>4500</v>
      </c>
      <c r="H41" s="167">
        <f>SUM('8. General Start Up Cost'!$F$10:$F$15)</f>
        <v>4500</v>
      </c>
      <c r="I41" s="44">
        <f>D41</f>
        <v>0</v>
      </c>
      <c r="J41" s="44">
        <f t="shared" si="2"/>
        <v>0</v>
      </c>
      <c r="K41" s="44">
        <f t="shared" si="2"/>
        <v>0</v>
      </c>
    </row>
    <row r="42" spans="3:12" ht="31">
      <c r="C42" s="202" t="s">
        <v>124</v>
      </c>
      <c r="D42" s="45">
        <f>D38*('3. Basic Input &amp; Assumptions'!H19)</f>
        <v>8460</v>
      </c>
      <c r="E42" s="133" t="s">
        <v>46</v>
      </c>
      <c r="F42" s="102" t="s">
        <v>124</v>
      </c>
      <c r="G42" s="45">
        <f t="shared" si="1"/>
        <v>26019.787499999999</v>
      </c>
      <c r="H42" s="168">
        <f>SUM('8. General Start Up Cost'!$F$17:$F$20)</f>
        <v>0</v>
      </c>
      <c r="I42" s="45">
        <f>D42</f>
        <v>8460</v>
      </c>
      <c r="J42" s="45">
        <f t="shared" si="2"/>
        <v>8671.5</v>
      </c>
      <c r="K42" s="45">
        <f t="shared" si="2"/>
        <v>8888.2874999999985</v>
      </c>
    </row>
    <row r="43" spans="3:12" ht="31">
      <c r="C43" s="46" t="s">
        <v>47</v>
      </c>
      <c r="D43" s="39">
        <f>SUM(D38:D42)</f>
        <v>731846.4</v>
      </c>
      <c r="E43" s="43"/>
      <c r="F43" s="47" t="s">
        <v>47</v>
      </c>
      <c r="G43" s="39">
        <f t="shared" si="1"/>
        <v>2255385.0839999998</v>
      </c>
      <c r="H43" s="39">
        <f>SUM(H38:H42)</f>
        <v>4500</v>
      </c>
      <c r="I43" s="39">
        <f>SUM(I38:I42)</f>
        <v>731846.4</v>
      </c>
      <c r="J43" s="39">
        <f>SUM(J38:J42)</f>
        <v>750142.56</v>
      </c>
      <c r="K43" s="39">
        <f>SUM(K38:K42)</f>
        <v>768896.12399999995</v>
      </c>
    </row>
    <row r="44" spans="3:12">
      <c r="C44" s="48"/>
      <c r="D44" s="42"/>
      <c r="E44" s="43"/>
      <c r="F44" s="49"/>
      <c r="G44" s="42"/>
      <c r="H44" s="42"/>
      <c r="I44" s="42"/>
      <c r="J44" s="42"/>
      <c r="K44" s="42"/>
    </row>
    <row r="45" spans="3:12" ht="31">
      <c r="C45" s="110" t="s">
        <v>48</v>
      </c>
      <c r="D45" s="42"/>
      <c r="E45" s="43"/>
      <c r="F45" s="107" t="s">
        <v>48</v>
      </c>
      <c r="G45" s="42"/>
      <c r="H45" s="42"/>
      <c r="I45" s="42"/>
      <c r="J45" s="42"/>
      <c r="K45" s="42"/>
    </row>
    <row r="46" spans="3:12">
      <c r="C46" s="41" t="s">
        <v>49</v>
      </c>
      <c r="D46" s="44">
        <v>70000</v>
      </c>
      <c r="E46" s="43"/>
      <c r="F46" s="50" t="s">
        <v>49</v>
      </c>
      <c r="G46" s="44">
        <f>SUM(H46:K46)</f>
        <v>226293.75</v>
      </c>
      <c r="H46" s="167">
        <f>'8. General Start Up Cost'!$F$24</f>
        <v>11000</v>
      </c>
      <c r="I46" s="44">
        <f t="shared" ref="I46:I53" si="3">D46</f>
        <v>70000</v>
      </c>
      <c r="J46" s="44">
        <f t="shared" ref="J46:K52" si="4">I46*(1+$G$84)</f>
        <v>71750</v>
      </c>
      <c r="K46" s="44">
        <f t="shared" si="4"/>
        <v>73543.75</v>
      </c>
    </row>
    <row r="47" spans="3:12">
      <c r="C47" s="41" t="s">
        <v>50</v>
      </c>
      <c r="D47" s="44">
        <v>9500</v>
      </c>
      <c r="E47" s="43"/>
      <c r="F47" s="50" t="s">
        <v>50</v>
      </c>
      <c r="G47" s="44">
        <f t="shared" ref="G47:G52" si="5">SUM(H47:K47)</f>
        <v>29218.4375</v>
      </c>
      <c r="H47" s="167">
        <f>'8. General Start Up Cost'!$F$25</f>
        <v>0</v>
      </c>
      <c r="I47" s="44">
        <f t="shared" si="3"/>
        <v>9500</v>
      </c>
      <c r="J47" s="44">
        <f t="shared" si="4"/>
        <v>9737.5</v>
      </c>
      <c r="K47" s="44">
        <f t="shared" si="4"/>
        <v>9980.9375</v>
      </c>
    </row>
    <row r="48" spans="3:12">
      <c r="C48" s="41" t="s">
        <v>51</v>
      </c>
      <c r="D48" s="44">
        <v>12500</v>
      </c>
      <c r="E48" s="43"/>
      <c r="F48" s="50" t="s">
        <v>51</v>
      </c>
      <c r="G48" s="44">
        <f t="shared" si="5"/>
        <v>38445.3125</v>
      </c>
      <c r="H48" s="167">
        <f>'8. General Start Up Cost'!$F$26</f>
        <v>0</v>
      </c>
      <c r="I48" s="44">
        <f t="shared" si="3"/>
        <v>12500</v>
      </c>
      <c r="J48" s="44">
        <f t="shared" si="4"/>
        <v>12812.499999999998</v>
      </c>
      <c r="K48" s="44">
        <f t="shared" si="4"/>
        <v>13132.812499999996</v>
      </c>
    </row>
    <row r="49" spans="3:11">
      <c r="C49" s="41" t="s">
        <v>52</v>
      </c>
      <c r="D49" s="44">
        <v>10000</v>
      </c>
      <c r="E49" s="43"/>
      <c r="F49" s="50" t="s">
        <v>52</v>
      </c>
      <c r="G49" s="44">
        <f t="shared" si="5"/>
        <v>30756.25</v>
      </c>
      <c r="H49" s="42"/>
      <c r="I49" s="44">
        <f t="shared" si="3"/>
        <v>10000</v>
      </c>
      <c r="J49" s="44">
        <f t="shared" si="4"/>
        <v>10250</v>
      </c>
      <c r="K49" s="44">
        <f t="shared" si="4"/>
        <v>10506.249999999998</v>
      </c>
    </row>
    <row r="50" spans="3:11" ht="31">
      <c r="C50" s="50" t="s">
        <v>53</v>
      </c>
      <c r="D50" s="44">
        <v>9600</v>
      </c>
      <c r="E50" s="43"/>
      <c r="F50" s="50" t="s">
        <v>53</v>
      </c>
      <c r="G50" s="44">
        <f t="shared" si="5"/>
        <v>29526</v>
      </c>
      <c r="H50" s="167">
        <f>'8. General Start Up Cost'!$F$27</f>
        <v>0</v>
      </c>
      <c r="I50" s="44">
        <f t="shared" si="3"/>
        <v>9600</v>
      </c>
      <c r="J50" s="44">
        <f t="shared" si="4"/>
        <v>9840</v>
      </c>
      <c r="K50" s="44">
        <f t="shared" si="4"/>
        <v>10086</v>
      </c>
    </row>
    <row r="51" spans="3:11">
      <c r="C51" s="41" t="s">
        <v>54</v>
      </c>
      <c r="D51" s="44">
        <v>15000</v>
      </c>
      <c r="E51" s="43"/>
      <c r="F51" s="50" t="s">
        <v>54</v>
      </c>
      <c r="G51" s="44">
        <f t="shared" si="5"/>
        <v>46134.375</v>
      </c>
      <c r="H51" s="167">
        <f>'8. General Start Up Cost'!$F$28</f>
        <v>0</v>
      </c>
      <c r="I51" s="44">
        <f t="shared" si="3"/>
        <v>15000</v>
      </c>
      <c r="J51" s="44">
        <f t="shared" si="4"/>
        <v>15374.999999999998</v>
      </c>
      <c r="K51" s="44">
        <f t="shared" si="4"/>
        <v>15759.374999999996</v>
      </c>
    </row>
    <row r="52" spans="3:11" ht="31">
      <c r="C52" s="41" t="s">
        <v>83</v>
      </c>
      <c r="D52" s="44">
        <v>12000</v>
      </c>
      <c r="E52" s="43"/>
      <c r="F52" s="50" t="s">
        <v>55</v>
      </c>
      <c r="G52" s="44">
        <f t="shared" si="5"/>
        <v>36907.5</v>
      </c>
      <c r="H52" s="42"/>
      <c r="I52" s="44">
        <f t="shared" si="3"/>
        <v>12000</v>
      </c>
      <c r="J52" s="44">
        <f t="shared" si="4"/>
        <v>12299.999999999998</v>
      </c>
      <c r="K52" s="44">
        <f t="shared" si="4"/>
        <v>12607.499999999996</v>
      </c>
    </row>
    <row r="53" spans="3:11">
      <c r="C53" s="41" t="s">
        <v>205</v>
      </c>
      <c r="D53" s="42">
        <f>D54*D55*D56*365</f>
        <v>9125</v>
      </c>
      <c r="E53" s="133" t="s">
        <v>46</v>
      </c>
      <c r="F53" s="41" t="s">
        <v>56</v>
      </c>
      <c r="G53" s="42">
        <f>SUM(H53:K53)</f>
        <v>27375</v>
      </c>
      <c r="H53" s="42"/>
      <c r="I53" s="42">
        <f t="shared" si="3"/>
        <v>9125</v>
      </c>
      <c r="J53" s="42">
        <f>J54*J55*J56*365</f>
        <v>9125</v>
      </c>
      <c r="K53" s="42">
        <f>K54*K55*365*K56</f>
        <v>9125</v>
      </c>
    </row>
    <row r="54" spans="3:11">
      <c r="C54" s="103" t="s">
        <v>57</v>
      </c>
      <c r="D54" s="52">
        <f>'3. Basic Input &amp; Assumptions'!H17</f>
        <v>0.625</v>
      </c>
      <c r="E54" s="133" t="s">
        <v>340</v>
      </c>
      <c r="F54" s="103" t="s">
        <v>57</v>
      </c>
      <c r="G54" s="52">
        <f>'3. Basic Input &amp; Assumptions'!$H$17</f>
        <v>0.625</v>
      </c>
      <c r="H54" s="169"/>
      <c r="I54" s="52">
        <f>'3. Basic Input &amp; Assumptions'!H17</f>
        <v>0.625</v>
      </c>
      <c r="J54" s="52">
        <f>'3. Basic Input &amp; Assumptions'!H17</f>
        <v>0.625</v>
      </c>
      <c r="K54" s="52">
        <f>'3. Basic Input &amp; Assumptions'!H17</f>
        <v>0.625</v>
      </c>
    </row>
    <row r="55" spans="3:11" ht="31" customHeight="1">
      <c r="C55" s="104" t="s">
        <v>59</v>
      </c>
      <c r="D55" s="53">
        <v>20</v>
      </c>
      <c r="E55" s="54"/>
      <c r="F55" s="104" t="s">
        <v>59</v>
      </c>
      <c r="G55" s="53">
        <f>'3. Basic Input &amp; Assumptions'!$H$15</f>
        <v>20</v>
      </c>
      <c r="H55" s="170"/>
      <c r="I55" s="53">
        <f t="shared" ref="I55:I66" si="6">D55</f>
        <v>20</v>
      </c>
      <c r="J55" s="53">
        <f>I55</f>
        <v>20</v>
      </c>
      <c r="K55" s="53">
        <f>J55</f>
        <v>20</v>
      </c>
    </row>
    <row r="56" spans="3:11" ht="31">
      <c r="C56" s="104" t="s">
        <v>60</v>
      </c>
      <c r="D56" s="53">
        <v>2</v>
      </c>
      <c r="E56" s="134" t="s">
        <v>91</v>
      </c>
      <c r="F56" s="104" t="s">
        <v>60</v>
      </c>
      <c r="G56" s="53">
        <f>AVERAGE(H56:K56)</f>
        <v>2</v>
      </c>
      <c r="H56" s="170"/>
      <c r="I56" s="53">
        <f t="shared" si="6"/>
        <v>2</v>
      </c>
      <c r="J56" s="53">
        <f>I56</f>
        <v>2</v>
      </c>
      <c r="K56" s="53">
        <f>J56</f>
        <v>2</v>
      </c>
    </row>
    <row r="57" spans="3:11">
      <c r="C57" s="41" t="s">
        <v>61</v>
      </c>
      <c r="D57" s="44">
        <v>0</v>
      </c>
      <c r="E57" s="51"/>
      <c r="F57" s="50" t="s">
        <v>61</v>
      </c>
      <c r="G57" s="44">
        <f>SUM(H57:K57)</f>
        <v>0</v>
      </c>
      <c r="H57" s="167">
        <f>'8. General Start Up Cost'!$F$29</f>
        <v>0</v>
      </c>
      <c r="I57" s="44">
        <f t="shared" si="6"/>
        <v>0</v>
      </c>
      <c r="J57" s="44">
        <f t="shared" ref="J57:K66" si="7">I57*(1+$G$84)</f>
        <v>0</v>
      </c>
      <c r="K57" s="44">
        <f t="shared" si="7"/>
        <v>0</v>
      </c>
    </row>
    <row r="58" spans="3:11">
      <c r="C58" s="41" t="s">
        <v>62</v>
      </c>
      <c r="D58" s="44">
        <v>0</v>
      </c>
      <c r="E58" s="43"/>
      <c r="F58" s="50" t="s">
        <v>62</v>
      </c>
      <c r="G58" s="44">
        <f t="shared" ref="G58:G66" si="8">SUM(H58:K58)</f>
        <v>0</v>
      </c>
      <c r="H58" s="167">
        <f>'8. General Start Up Cost'!$F$30</f>
        <v>0</v>
      </c>
      <c r="I58" s="44">
        <f t="shared" si="6"/>
        <v>0</v>
      </c>
      <c r="J58" s="44">
        <f t="shared" si="7"/>
        <v>0</v>
      </c>
      <c r="K58" s="44">
        <f t="shared" si="7"/>
        <v>0</v>
      </c>
    </row>
    <row r="59" spans="3:11" ht="31">
      <c r="C59" s="41" t="s">
        <v>63</v>
      </c>
      <c r="D59" s="44">
        <v>0</v>
      </c>
      <c r="E59" s="43"/>
      <c r="F59" s="50" t="s">
        <v>63</v>
      </c>
      <c r="G59" s="44">
        <f t="shared" si="8"/>
        <v>0</v>
      </c>
      <c r="H59" s="42"/>
      <c r="I59" s="44">
        <f t="shared" si="6"/>
        <v>0</v>
      </c>
      <c r="J59" s="44">
        <f t="shared" si="7"/>
        <v>0</v>
      </c>
      <c r="K59" s="44">
        <f t="shared" si="7"/>
        <v>0</v>
      </c>
    </row>
    <row r="60" spans="3:11" ht="31">
      <c r="C60" s="41" t="s">
        <v>64</v>
      </c>
      <c r="D60" s="44">
        <v>0</v>
      </c>
      <c r="E60" s="43"/>
      <c r="F60" s="50" t="s">
        <v>64</v>
      </c>
      <c r="G60" s="44">
        <f t="shared" si="8"/>
        <v>0</v>
      </c>
      <c r="H60" s="42"/>
      <c r="I60" s="44">
        <f t="shared" si="6"/>
        <v>0</v>
      </c>
      <c r="J60" s="44">
        <f t="shared" si="7"/>
        <v>0</v>
      </c>
      <c r="K60" s="44">
        <f t="shared" si="7"/>
        <v>0</v>
      </c>
    </row>
    <row r="61" spans="3:11" ht="31">
      <c r="C61" s="41" t="s">
        <v>65</v>
      </c>
      <c r="D61" s="44">
        <v>0</v>
      </c>
      <c r="E61" s="43"/>
      <c r="F61" s="50" t="s">
        <v>65</v>
      </c>
      <c r="G61" s="44">
        <f t="shared" si="8"/>
        <v>0</v>
      </c>
      <c r="H61" s="167">
        <f>'8. General Start Up Cost'!$F$31</f>
        <v>0</v>
      </c>
      <c r="I61" s="44">
        <f t="shared" si="6"/>
        <v>0</v>
      </c>
      <c r="J61" s="44">
        <f t="shared" si="7"/>
        <v>0</v>
      </c>
      <c r="K61" s="44">
        <f t="shared" si="7"/>
        <v>0</v>
      </c>
    </row>
    <row r="62" spans="3:11" ht="93">
      <c r="C62" s="50" t="s">
        <v>66</v>
      </c>
      <c r="D62" s="44">
        <v>0</v>
      </c>
      <c r="E62" s="43"/>
      <c r="F62" s="50" t="s">
        <v>66</v>
      </c>
      <c r="G62" s="44">
        <f t="shared" si="8"/>
        <v>4300</v>
      </c>
      <c r="H62" s="167">
        <f>SUM('8. General Start Up Cost'!$F$33:$F$42)</f>
        <v>4300</v>
      </c>
      <c r="I62" s="44">
        <f t="shared" si="6"/>
        <v>0</v>
      </c>
      <c r="J62" s="44">
        <f t="shared" si="7"/>
        <v>0</v>
      </c>
      <c r="K62" s="44">
        <f t="shared" si="7"/>
        <v>0</v>
      </c>
    </row>
    <row r="63" spans="3:11" ht="31">
      <c r="C63" s="41" t="s">
        <v>68</v>
      </c>
      <c r="D63" s="44">
        <v>0</v>
      </c>
      <c r="E63" s="43"/>
      <c r="F63" s="50" t="s">
        <v>68</v>
      </c>
      <c r="G63" s="44">
        <f t="shared" si="8"/>
        <v>0</v>
      </c>
      <c r="H63" s="42"/>
      <c r="I63" s="44">
        <f t="shared" si="6"/>
        <v>0</v>
      </c>
      <c r="J63" s="44">
        <f t="shared" si="7"/>
        <v>0</v>
      </c>
      <c r="K63" s="44">
        <f t="shared" si="7"/>
        <v>0</v>
      </c>
    </row>
    <row r="64" spans="3:11" ht="31">
      <c r="C64" s="41" t="s">
        <v>69</v>
      </c>
      <c r="D64" s="44">
        <v>0</v>
      </c>
      <c r="E64" s="43"/>
      <c r="F64" s="50" t="s">
        <v>69</v>
      </c>
      <c r="G64" s="44">
        <f t="shared" si="8"/>
        <v>0</v>
      </c>
      <c r="H64" s="42"/>
      <c r="I64" s="44">
        <f t="shared" si="6"/>
        <v>0</v>
      </c>
      <c r="J64" s="44">
        <f t="shared" si="7"/>
        <v>0</v>
      </c>
      <c r="K64" s="44">
        <f t="shared" si="7"/>
        <v>0</v>
      </c>
    </row>
    <row r="65" spans="3:11" ht="62">
      <c r="C65" s="50" t="s">
        <v>236</v>
      </c>
      <c r="D65" s="44">
        <v>40000</v>
      </c>
      <c r="E65" s="43"/>
      <c r="F65" s="50" t="s">
        <v>70</v>
      </c>
      <c r="G65" s="44">
        <f t="shared" si="8"/>
        <v>159425</v>
      </c>
      <c r="H65" s="167">
        <f>SUM('8. General Start Up Cost'!$F$46:$F$49)</f>
        <v>36400</v>
      </c>
      <c r="I65" s="44">
        <f t="shared" si="6"/>
        <v>40000</v>
      </c>
      <c r="J65" s="44">
        <f t="shared" si="7"/>
        <v>41000</v>
      </c>
      <c r="K65" s="44">
        <f t="shared" si="7"/>
        <v>42024.999999999993</v>
      </c>
    </row>
    <row r="66" spans="3:11">
      <c r="C66" s="55" t="s">
        <v>71</v>
      </c>
      <c r="D66" s="45">
        <v>0</v>
      </c>
      <c r="E66" s="43"/>
      <c r="F66" s="55" t="s">
        <v>71</v>
      </c>
      <c r="G66" s="45">
        <f t="shared" si="8"/>
        <v>0</v>
      </c>
      <c r="H66" s="58"/>
      <c r="I66" s="45">
        <f t="shared" si="6"/>
        <v>0</v>
      </c>
      <c r="J66" s="45">
        <f t="shared" si="7"/>
        <v>0</v>
      </c>
      <c r="K66" s="45">
        <f t="shared" si="7"/>
        <v>0</v>
      </c>
    </row>
    <row r="67" spans="3:11" ht="31">
      <c r="C67" s="56" t="s">
        <v>72</v>
      </c>
      <c r="D67" s="39">
        <f>SUM(D46:D66)</f>
        <v>187747.625</v>
      </c>
      <c r="E67" s="43"/>
      <c r="F67" s="57" t="s">
        <v>72</v>
      </c>
      <c r="G67" s="39">
        <f>SUM(H67:K67)</f>
        <v>628449.5</v>
      </c>
      <c r="H67" s="39">
        <f>SUM(H46:H66)</f>
        <v>51700</v>
      </c>
      <c r="I67" s="39">
        <f>SUM(I46:I66)</f>
        <v>187747.625</v>
      </c>
      <c r="J67" s="39">
        <f>SUM(J46:J66)</f>
        <v>192212.625</v>
      </c>
      <c r="K67" s="39">
        <f>SUM(K46:K66)</f>
        <v>196789.25</v>
      </c>
    </row>
    <row r="68" spans="3:11">
      <c r="C68" s="48"/>
      <c r="D68" s="42"/>
      <c r="E68" s="43"/>
      <c r="F68" s="49"/>
      <c r="G68" s="42"/>
      <c r="H68" s="42"/>
      <c r="I68" s="42"/>
      <c r="J68" s="42"/>
      <c r="K68" s="42"/>
    </row>
    <row r="69" spans="3:11">
      <c r="C69" s="110" t="s">
        <v>73</v>
      </c>
      <c r="D69" s="42">
        <f>D43+D67</f>
        <v>919594.02500000002</v>
      </c>
      <c r="E69" s="43"/>
      <c r="F69" s="107" t="s">
        <v>73</v>
      </c>
      <c r="G69" s="42">
        <f>SUM(H69:K69)</f>
        <v>2883834.5839999998</v>
      </c>
      <c r="H69" s="167">
        <f>SUM(H43,H67)</f>
        <v>56200</v>
      </c>
      <c r="I69" s="42">
        <f>I43+I67</f>
        <v>919594.02500000002</v>
      </c>
      <c r="J69" s="42">
        <f>J43+J67</f>
        <v>942355.18500000006</v>
      </c>
      <c r="K69" s="42">
        <f>K43+K67</f>
        <v>965685.37399999995</v>
      </c>
    </row>
    <row r="70" spans="3:11" ht="31">
      <c r="C70" s="112" t="s">
        <v>74</v>
      </c>
      <c r="D70" s="58">
        <f>D69*('3. Basic Input &amp; Assumptions'!H14)</f>
        <v>137939.10375000001</v>
      </c>
      <c r="E70" s="43"/>
      <c r="F70" s="108" t="s">
        <v>74</v>
      </c>
      <c r="G70" s="58">
        <f>SUM(H70:K70)</f>
        <v>432575.1876</v>
      </c>
      <c r="H70" s="168">
        <f>H69*'3. Basic Input &amp; Assumptions'!$H$14</f>
        <v>8430</v>
      </c>
      <c r="I70" s="58">
        <f>I69*('3. Basic Input &amp; Assumptions'!$H$14)</f>
        <v>137939.10375000001</v>
      </c>
      <c r="J70" s="58">
        <f>J69*('3. Basic Input &amp; Assumptions'!$H$14)</f>
        <v>141353.27775000001</v>
      </c>
      <c r="K70" s="58">
        <f>K69*('3. Basic Input &amp; Assumptions'!H14)</f>
        <v>144852.80609999999</v>
      </c>
    </row>
    <row r="71" spans="3:11" ht="31">
      <c r="C71" s="111" t="s">
        <v>136</v>
      </c>
      <c r="D71" s="39">
        <f>D69+D70</f>
        <v>1057533.1287500001</v>
      </c>
      <c r="E71" s="43"/>
      <c r="F71" s="106" t="s">
        <v>136</v>
      </c>
      <c r="G71" s="39">
        <f>SUM(H71:K71)</f>
        <v>3316409.7716000001</v>
      </c>
      <c r="H71" s="171">
        <f>SUM(H69:H70)</f>
        <v>64630</v>
      </c>
      <c r="I71" s="101">
        <f>I69+I70</f>
        <v>1057533.1287500001</v>
      </c>
      <c r="J71" s="101">
        <f>J69+J70</f>
        <v>1083708.4627499999</v>
      </c>
      <c r="K71" s="101">
        <f>K69+K70</f>
        <v>1110538.1801</v>
      </c>
    </row>
    <row r="72" spans="3:11">
      <c r="C72" s="111"/>
      <c r="D72" s="39"/>
      <c r="E72" s="43"/>
      <c r="F72" s="106"/>
      <c r="G72" s="42"/>
      <c r="H72" s="42"/>
      <c r="I72" s="39"/>
      <c r="J72" s="39"/>
      <c r="K72" s="39"/>
    </row>
    <row r="73" spans="3:11">
      <c r="C73" s="110" t="s">
        <v>137</v>
      </c>
      <c r="D73" s="42"/>
      <c r="E73" s="40"/>
      <c r="F73" s="110" t="s">
        <v>137</v>
      </c>
      <c r="G73" s="42"/>
      <c r="H73" s="42"/>
      <c r="I73" s="42"/>
      <c r="J73" s="42"/>
      <c r="K73" s="42"/>
    </row>
    <row r="74" spans="3:11" ht="46.5">
      <c r="C74" s="179" t="s">
        <v>75</v>
      </c>
      <c r="D74" s="44">
        <f>H30</f>
        <v>108000</v>
      </c>
      <c r="E74" s="40"/>
      <c r="F74" s="179" t="s">
        <v>75</v>
      </c>
      <c r="G74" s="44">
        <f t="shared" ref="G74:G80" si="9">SUM(H74:K74)</f>
        <v>324000</v>
      </c>
      <c r="H74" s="167">
        <v>0</v>
      </c>
      <c r="I74" s="44">
        <f t="shared" ref="I74:I80" si="10">D74</f>
        <v>108000</v>
      </c>
      <c r="J74" s="44">
        <f>I74</f>
        <v>108000</v>
      </c>
      <c r="K74" s="44">
        <f>J74</f>
        <v>108000</v>
      </c>
    </row>
    <row r="75" spans="3:11">
      <c r="C75" s="41" t="s">
        <v>358</v>
      </c>
      <c r="D75" s="44">
        <v>0</v>
      </c>
      <c r="E75" s="40"/>
      <c r="F75" s="50" t="s">
        <v>358</v>
      </c>
      <c r="G75" s="44">
        <f t="shared" si="9"/>
        <v>0</v>
      </c>
      <c r="H75" s="167">
        <v>0</v>
      </c>
      <c r="I75" s="44">
        <f t="shared" si="10"/>
        <v>0</v>
      </c>
      <c r="J75" s="44">
        <f t="shared" ref="J75:K79" si="11">I75</f>
        <v>0</v>
      </c>
      <c r="K75" s="44">
        <f t="shared" si="11"/>
        <v>0</v>
      </c>
    </row>
    <row r="76" spans="3:11">
      <c r="C76" s="41" t="s">
        <v>77</v>
      </c>
      <c r="D76" s="44">
        <v>0</v>
      </c>
      <c r="E76" s="40"/>
      <c r="F76" s="50" t="s">
        <v>77</v>
      </c>
      <c r="G76" s="44">
        <f t="shared" si="9"/>
        <v>0</v>
      </c>
      <c r="H76" s="167">
        <v>0</v>
      </c>
      <c r="I76" s="44">
        <f t="shared" si="10"/>
        <v>0</v>
      </c>
      <c r="J76" s="44">
        <f t="shared" si="11"/>
        <v>0</v>
      </c>
      <c r="K76" s="44">
        <f t="shared" si="11"/>
        <v>0</v>
      </c>
    </row>
    <row r="77" spans="3:11">
      <c r="C77" s="50" t="s">
        <v>203</v>
      </c>
      <c r="D77" s="44">
        <v>0</v>
      </c>
      <c r="E77" s="40"/>
      <c r="F77" s="50" t="s">
        <v>203</v>
      </c>
      <c r="G77" s="44">
        <f t="shared" si="9"/>
        <v>0</v>
      </c>
      <c r="H77" s="167">
        <v>0</v>
      </c>
      <c r="I77" s="44">
        <f t="shared" si="10"/>
        <v>0</v>
      </c>
      <c r="J77" s="44">
        <f t="shared" si="11"/>
        <v>0</v>
      </c>
      <c r="K77" s="44">
        <f t="shared" si="11"/>
        <v>0</v>
      </c>
    </row>
    <row r="78" spans="3:11" ht="31">
      <c r="C78" s="41" t="s">
        <v>76</v>
      </c>
      <c r="D78" s="44">
        <v>0</v>
      </c>
      <c r="E78" s="40"/>
      <c r="F78" s="50" t="s">
        <v>76</v>
      </c>
      <c r="G78" s="44">
        <f t="shared" si="9"/>
        <v>0</v>
      </c>
      <c r="H78" s="167">
        <v>0</v>
      </c>
      <c r="I78" s="44">
        <f t="shared" si="10"/>
        <v>0</v>
      </c>
      <c r="J78" s="44">
        <f t="shared" si="11"/>
        <v>0</v>
      </c>
      <c r="K78" s="44">
        <f t="shared" si="11"/>
        <v>0</v>
      </c>
    </row>
    <row r="79" spans="3:11">
      <c r="C79" s="60" t="s">
        <v>78</v>
      </c>
      <c r="D79" s="45">
        <v>0</v>
      </c>
      <c r="E79" s="40"/>
      <c r="F79" s="55" t="s">
        <v>78</v>
      </c>
      <c r="G79" s="44">
        <f t="shared" si="9"/>
        <v>0</v>
      </c>
      <c r="H79" s="168">
        <v>0</v>
      </c>
      <c r="I79" s="45">
        <f t="shared" si="10"/>
        <v>0</v>
      </c>
      <c r="J79" s="45">
        <f t="shared" si="11"/>
        <v>0</v>
      </c>
      <c r="K79" s="45">
        <f t="shared" si="11"/>
        <v>0</v>
      </c>
    </row>
    <row r="80" spans="3:11">
      <c r="C80" s="178" t="s">
        <v>86</v>
      </c>
      <c r="D80" s="39">
        <f>SUM(D74:D79)</f>
        <v>108000</v>
      </c>
      <c r="E80" s="40"/>
      <c r="F80" s="178" t="s">
        <v>86</v>
      </c>
      <c r="G80" s="58">
        <f t="shared" si="9"/>
        <v>324000</v>
      </c>
      <c r="H80" s="171">
        <f>SUM(H74:H79)</f>
        <v>0</v>
      </c>
      <c r="I80" s="39">
        <f t="shared" si="10"/>
        <v>108000</v>
      </c>
      <c r="J80" s="39">
        <f>SUM(J74:J79)</f>
        <v>108000</v>
      </c>
      <c r="K80" s="39">
        <f>SUM(K74:K79)</f>
        <v>108000</v>
      </c>
    </row>
    <row r="81" spans="3:11">
      <c r="C81" s="61"/>
      <c r="D81" s="62"/>
      <c r="E81" s="40"/>
      <c r="F81" s="63"/>
      <c r="G81" s="62"/>
      <c r="H81" s="62"/>
      <c r="I81" s="62"/>
      <c r="J81" s="62"/>
      <c r="K81" s="62"/>
    </row>
    <row r="82" spans="3:11">
      <c r="C82" s="113" t="s">
        <v>138</v>
      </c>
      <c r="D82" s="64">
        <f>D80-D71</f>
        <v>-949533.12875000015</v>
      </c>
      <c r="E82" s="40"/>
      <c r="F82" s="109" t="s">
        <v>79</v>
      </c>
      <c r="G82" s="64">
        <f>SUM(H82:K82)</f>
        <v>-2992409.7716000001</v>
      </c>
      <c r="H82" s="64">
        <f>H80-H71</f>
        <v>-64630</v>
      </c>
      <c r="I82" s="64">
        <f>I80-I71</f>
        <v>-949533.12875000015</v>
      </c>
      <c r="J82" s="64">
        <f>J80-J71</f>
        <v>-975708.46274999995</v>
      </c>
      <c r="K82" s="64">
        <f>K80-K71</f>
        <v>-1002538.1801</v>
      </c>
    </row>
    <row r="84" spans="3:11" ht="31">
      <c r="C84" s="382"/>
      <c r="D84" s="382"/>
      <c r="F84" s="75" t="s">
        <v>80</v>
      </c>
      <c r="G84" s="65">
        <f>'3. Basic Input &amp; Assumptions'!H18</f>
        <v>2.5000000000000001E-2</v>
      </c>
      <c r="H84" s="65"/>
      <c r="I84" s="65"/>
    </row>
    <row r="85" spans="3:11">
      <c r="C85" s="382"/>
      <c r="D85" s="382"/>
    </row>
    <row r="86" spans="3:11">
      <c r="C86" s="382"/>
      <c r="D86" s="382"/>
    </row>
    <row r="87" spans="3:11">
      <c r="C87" s="382"/>
      <c r="D87" s="382"/>
    </row>
  </sheetData>
  <sheetProtection selectLockedCells="1"/>
  <mergeCells count="18">
    <mergeCell ref="E1:J1"/>
    <mergeCell ref="C6:G6"/>
    <mergeCell ref="B9:D9"/>
    <mergeCell ref="C31:H31"/>
    <mergeCell ref="G18:G19"/>
    <mergeCell ref="F18:F19"/>
    <mergeCell ref="F20:F29"/>
    <mergeCell ref="H18:H19"/>
    <mergeCell ref="C7:D7"/>
    <mergeCell ref="E7:F7"/>
    <mergeCell ref="C84:D87"/>
    <mergeCell ref="C36:D36"/>
    <mergeCell ref="F35:L35"/>
    <mergeCell ref="C10:H11"/>
    <mergeCell ref="C15:H15"/>
    <mergeCell ref="C16:H16"/>
    <mergeCell ref="C17:E17"/>
    <mergeCell ref="C32:H32"/>
  </mergeCells>
  <conditionalFormatting sqref="G21:G29">
    <cfRule type="expression" dxfId="6" priority="4">
      <formula>$F$24="No"</formula>
    </cfRule>
  </conditionalFormatting>
  <conditionalFormatting sqref="G26:G29">
    <cfRule type="expression" dxfId="5" priority="3">
      <formula>$F$20="No"</formula>
    </cfRule>
  </conditionalFormatting>
  <conditionalFormatting sqref="G18:H30">
    <cfRule type="expression" dxfId="4" priority="1">
      <formula>$F$20="No"</formula>
    </cfRule>
  </conditionalFormatting>
  <conditionalFormatting sqref="G30:H30">
    <cfRule type="expression" dxfId="3" priority="2">
      <formula>$F$20="No"</formula>
    </cfRule>
  </conditionalFormatting>
  <dataValidations count="3">
    <dataValidation type="whole" allowBlank="1" showInputMessage="1" showErrorMessage="1" sqref="F13 D13" xr:uid="{00000000-0002-0000-0600-000000000000}">
      <formula1>0</formula1>
      <formula2>100000</formula2>
    </dataValidation>
    <dataValidation allowBlank="1" showDropDown="1" showInputMessage="1" showErrorMessage="1" sqref="C13" xr:uid="{00000000-0002-0000-0600-000001000000}"/>
    <dataValidation type="list" allowBlank="1" showInputMessage="1" showErrorMessage="1" sqref="F20:F29" xr:uid="{00000000-0002-0000-0600-000002000000}">
      <formula1>"Yes, No"</formula1>
    </dataValidation>
  </dataValidations>
  <hyperlinks>
    <hyperlink ref="H5" r:id="rId1" display="Click here to view more resources and references on the CTI model" xr:uid="{00000000-0004-0000-0600-000000000000}"/>
    <hyperlink ref="C8" r:id="rId2" xr:uid="{5A0B994A-DE76-4026-BF8E-B79D705751A0}"/>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V86"/>
  <sheetViews>
    <sheetView tabSelected="1" topLeftCell="C1" zoomScale="75" zoomScaleNormal="75" workbookViewId="0">
      <selection activeCell="C6" sqref="C6:G6"/>
    </sheetView>
  </sheetViews>
  <sheetFormatPr defaultColWidth="9.1796875" defaultRowHeight="15.5"/>
  <cols>
    <col min="1" max="2" width="2.81640625" style="4" hidden="1" customWidth="1"/>
    <col min="3" max="3" width="37.6328125" style="4" customWidth="1"/>
    <col min="4" max="4" width="18" style="4" customWidth="1"/>
    <col min="5" max="5" width="38.81640625" style="4" customWidth="1"/>
    <col min="6" max="6" width="39.453125" style="10" customWidth="1"/>
    <col min="7" max="7" width="31.81640625" style="8" customWidth="1"/>
    <col min="8" max="8" width="31.6328125" style="8" customWidth="1"/>
    <col min="9" max="9" width="25.36328125" style="8" customWidth="1"/>
    <col min="10" max="11" width="25.36328125" style="4" customWidth="1"/>
    <col min="12" max="12" width="25.1796875" style="4" customWidth="1"/>
    <col min="13" max="13" width="9.1796875" style="4" customWidth="1"/>
    <col min="14" max="14" width="24.36328125" style="4" customWidth="1"/>
    <col min="15" max="15" width="21.6328125" style="4" customWidth="1"/>
    <col min="16" max="16" width="17" style="4" customWidth="1"/>
    <col min="17" max="17" width="19.6328125" style="4" customWidth="1"/>
    <col min="18" max="16384" width="9.1796875" style="4"/>
  </cols>
  <sheetData>
    <row r="1" spans="2:15" ht="96.5" customHeight="1">
      <c r="D1" s="348"/>
      <c r="E1" s="348"/>
      <c r="F1" s="348"/>
      <c r="G1" s="348"/>
      <c r="H1" s="348"/>
      <c r="I1" s="348"/>
    </row>
    <row r="2" spans="2:15" s="3" customFormat="1">
      <c r="B2" s="1"/>
      <c r="C2" s="2"/>
      <c r="D2" s="2"/>
    </row>
    <row r="3" spans="2:15" s="403" customFormat="1" ht="36" customHeight="1">
      <c r="C3" s="416" t="s">
        <v>237</v>
      </c>
      <c r="D3" s="417"/>
      <c r="E3" s="417"/>
      <c r="F3" s="418"/>
      <c r="G3" s="404"/>
      <c r="H3" s="404"/>
      <c r="I3" s="404"/>
    </row>
    <row r="4" spans="2:15" s="403" customFormat="1" ht="25.5" customHeight="1">
      <c r="C4" s="419" t="s">
        <v>212</v>
      </c>
      <c r="F4" s="412"/>
      <c r="G4" s="404"/>
      <c r="H4" s="404"/>
      <c r="I4" s="404"/>
    </row>
    <row r="5" spans="2:15" s="403" customFormat="1">
      <c r="C5" s="420" t="s">
        <v>192</v>
      </c>
      <c r="F5" s="412"/>
      <c r="G5" s="404"/>
      <c r="H5" s="404"/>
      <c r="I5" s="404"/>
    </row>
    <row r="6" spans="2:15" s="403" customFormat="1" ht="214" customHeight="1">
      <c r="C6" s="421" t="s">
        <v>363</v>
      </c>
      <c r="D6" s="422"/>
      <c r="E6" s="422"/>
      <c r="F6" s="422"/>
      <c r="G6" s="422"/>
      <c r="H6" s="400"/>
      <c r="I6" s="423"/>
    </row>
    <row r="7" spans="2:15" s="398" customFormat="1" ht="244" customHeight="1">
      <c r="C7" s="414" t="s">
        <v>364</v>
      </c>
      <c r="D7" s="415"/>
      <c r="E7" s="414" t="s">
        <v>379</v>
      </c>
      <c r="F7" s="415"/>
      <c r="G7" s="399"/>
      <c r="H7" s="400"/>
      <c r="I7" s="401"/>
    </row>
    <row r="8" spans="2:15" s="395" customFormat="1" ht="30.5" customHeight="1">
      <c r="C8" s="396" t="s">
        <v>424</v>
      </c>
      <c r="I8" s="413"/>
      <c r="J8" s="413"/>
      <c r="K8" s="413"/>
      <c r="L8" s="413"/>
      <c r="M8" s="413"/>
      <c r="N8" s="413"/>
    </row>
    <row r="9" spans="2:15" s="398" customFormat="1" ht="23.5" customHeight="1">
      <c r="B9" s="397" t="s">
        <v>211</v>
      </c>
      <c r="C9" s="397"/>
      <c r="D9" s="397"/>
      <c r="E9" s="399"/>
      <c r="F9" s="399"/>
      <c r="G9" s="399"/>
      <c r="H9" s="400"/>
      <c r="I9" s="401"/>
      <c r="J9" s="402"/>
      <c r="K9" s="402"/>
      <c r="L9" s="402"/>
      <c r="M9" s="402"/>
      <c r="N9" s="402"/>
    </row>
    <row r="10" spans="2:15" s="403" customFormat="1" ht="15.5" customHeight="1">
      <c r="C10" s="358" t="s">
        <v>213</v>
      </c>
      <c r="D10" s="358"/>
      <c r="E10" s="358"/>
      <c r="F10" s="358"/>
      <c r="G10" s="358"/>
      <c r="H10" s="358"/>
      <c r="I10" s="404"/>
      <c r="N10" s="405"/>
    </row>
    <row r="11" spans="2:15" s="403" customFormat="1">
      <c r="C11" s="389"/>
      <c r="D11" s="389"/>
      <c r="E11" s="389"/>
      <c r="F11" s="389"/>
      <c r="G11" s="389"/>
      <c r="H11" s="389"/>
      <c r="I11" s="404"/>
      <c r="J11" s="403" t="s">
        <v>87</v>
      </c>
    </row>
    <row r="12" spans="2:15">
      <c r="C12" s="12"/>
      <c r="D12" s="12" t="s">
        <v>209</v>
      </c>
      <c r="E12" s="229"/>
      <c r="F12" s="406"/>
      <c r="G12" s="407"/>
      <c r="H12" s="407"/>
      <c r="I12" s="407"/>
      <c r="J12" s="408"/>
      <c r="K12" s="403"/>
      <c r="L12" s="403"/>
      <c r="M12" s="403"/>
      <c r="N12" s="403"/>
      <c r="O12" s="403"/>
    </row>
    <row r="13" spans="2:15">
      <c r="B13" s="15"/>
      <c r="C13" s="289" t="s">
        <v>195</v>
      </c>
      <c r="D13" s="211">
        <v>17</v>
      </c>
      <c r="E13" s="234"/>
      <c r="F13" s="288"/>
      <c r="G13" s="409"/>
      <c r="H13" s="409"/>
      <c r="I13" s="409"/>
      <c r="J13" s="410"/>
      <c r="K13" s="403"/>
      <c r="L13" s="403"/>
      <c r="M13" s="403"/>
      <c r="N13" s="403"/>
      <c r="O13" s="403"/>
    </row>
    <row r="14" spans="2:15">
      <c r="E14" s="411"/>
      <c r="F14" s="412"/>
      <c r="G14" s="404"/>
      <c r="H14" s="404"/>
      <c r="I14" s="404"/>
      <c r="J14" s="403"/>
      <c r="K14" s="403"/>
      <c r="L14" s="403"/>
      <c r="M14" s="403"/>
      <c r="N14" s="403"/>
      <c r="O14" s="403"/>
    </row>
    <row r="15" spans="2:15" ht="35" customHeight="1">
      <c r="C15" s="387" t="s">
        <v>200</v>
      </c>
      <c r="D15" s="387"/>
      <c r="E15" s="387"/>
      <c r="F15" s="387"/>
      <c r="G15" s="387"/>
      <c r="H15" s="387"/>
    </row>
    <row r="17" spans="3:22">
      <c r="C17" s="358" t="s">
        <v>230</v>
      </c>
      <c r="D17" s="358"/>
      <c r="E17" s="358"/>
      <c r="F17" s="164"/>
      <c r="G17" s="164"/>
      <c r="H17" s="166"/>
      <c r="I17" s="166"/>
    </row>
    <row r="18" spans="3:22" ht="49.5" customHeight="1">
      <c r="C18" s="166"/>
      <c r="D18" s="166"/>
      <c r="E18" s="166"/>
      <c r="F18" s="388" t="s">
        <v>322</v>
      </c>
      <c r="G18" s="383" t="s">
        <v>327</v>
      </c>
      <c r="H18" s="386" t="s">
        <v>325</v>
      </c>
      <c r="I18" s="166"/>
    </row>
    <row r="19" spans="3:22" ht="37.5" customHeight="1">
      <c r="D19" s="280" t="s">
        <v>19</v>
      </c>
      <c r="E19" s="280" t="s">
        <v>20</v>
      </c>
      <c r="F19" s="388"/>
      <c r="G19" s="383"/>
      <c r="H19" s="386"/>
      <c r="K19" s="21"/>
    </row>
    <row r="20" spans="3:22" ht="31">
      <c r="C20" s="301" t="s">
        <v>349</v>
      </c>
      <c r="D20" s="23">
        <v>1</v>
      </c>
      <c r="E20" s="24">
        <v>160000</v>
      </c>
      <c r="F20" s="367" t="s">
        <v>10</v>
      </c>
      <c r="G20" s="282">
        <v>0</v>
      </c>
      <c r="H20" s="285">
        <f>G20*E20</f>
        <v>0</v>
      </c>
      <c r="I20" s="274"/>
      <c r="J20" s="274"/>
    </row>
    <row r="21" spans="3:22">
      <c r="C21" s="302" t="s">
        <v>351</v>
      </c>
      <c r="D21" s="23">
        <v>1</v>
      </c>
      <c r="E21" s="24">
        <v>95000</v>
      </c>
      <c r="F21" s="367"/>
      <c r="G21" s="283">
        <v>1</v>
      </c>
      <c r="H21" s="285">
        <f t="shared" ref="H21:H29" si="0">G21*E21</f>
        <v>95000</v>
      </c>
      <c r="I21" s="275"/>
      <c r="J21" s="275"/>
    </row>
    <row r="22" spans="3:22">
      <c r="C22" s="302" t="s">
        <v>350</v>
      </c>
      <c r="D22" s="23">
        <v>1</v>
      </c>
      <c r="E22" s="24">
        <v>70000</v>
      </c>
      <c r="F22" s="367"/>
      <c r="G22" s="283">
        <v>0</v>
      </c>
      <c r="H22" s="285">
        <f t="shared" si="0"/>
        <v>0</v>
      </c>
      <c r="I22" s="162"/>
      <c r="J22" s="162"/>
    </row>
    <row r="23" spans="3:22">
      <c r="C23" s="22" t="s">
        <v>235</v>
      </c>
      <c r="D23" s="23">
        <v>1</v>
      </c>
      <c r="E23" s="24">
        <v>64000</v>
      </c>
      <c r="F23" s="367"/>
      <c r="G23" s="283">
        <v>0</v>
      </c>
      <c r="H23" s="285">
        <f t="shared" si="0"/>
        <v>0</v>
      </c>
      <c r="I23" s="162"/>
      <c r="J23" s="162"/>
    </row>
    <row r="24" spans="3:22">
      <c r="C24" s="22" t="s">
        <v>169</v>
      </c>
      <c r="D24" s="23">
        <v>1</v>
      </c>
      <c r="E24" s="24">
        <v>55000</v>
      </c>
      <c r="F24" s="367"/>
      <c r="G24" s="283">
        <v>0</v>
      </c>
      <c r="H24" s="285">
        <f t="shared" si="0"/>
        <v>0</v>
      </c>
      <c r="I24" s="162"/>
      <c r="J24" s="162"/>
    </row>
    <row r="25" spans="3:22">
      <c r="C25" s="22" t="s">
        <v>170</v>
      </c>
      <c r="D25" s="23">
        <v>1</v>
      </c>
      <c r="E25" s="24">
        <v>55000</v>
      </c>
      <c r="F25" s="367"/>
      <c r="G25" s="284">
        <v>0</v>
      </c>
      <c r="H25" s="285">
        <f t="shared" si="0"/>
        <v>0</v>
      </c>
      <c r="L25" s="26"/>
      <c r="M25" s="26"/>
    </row>
    <row r="26" spans="3:22">
      <c r="C26" s="22" t="s">
        <v>171</v>
      </c>
      <c r="D26" s="23">
        <v>1</v>
      </c>
      <c r="E26" s="24">
        <v>55000</v>
      </c>
      <c r="F26" s="367"/>
      <c r="G26" s="284">
        <v>0</v>
      </c>
      <c r="H26" s="285">
        <f t="shared" si="0"/>
        <v>0</v>
      </c>
      <c r="L26" s="26"/>
      <c r="M26" s="26"/>
    </row>
    <row r="27" spans="3:22">
      <c r="C27" s="302" t="s">
        <v>356</v>
      </c>
      <c r="D27" s="23">
        <v>0</v>
      </c>
      <c r="E27" s="24">
        <v>0</v>
      </c>
      <c r="F27" s="367"/>
      <c r="G27" s="284">
        <v>0</v>
      </c>
      <c r="H27" s="285">
        <f t="shared" si="0"/>
        <v>0</v>
      </c>
      <c r="L27" s="26"/>
      <c r="M27" s="26"/>
    </row>
    <row r="28" spans="3:22">
      <c r="C28" s="302" t="s">
        <v>355</v>
      </c>
      <c r="D28" s="23">
        <v>1</v>
      </c>
      <c r="E28" s="24">
        <v>0</v>
      </c>
      <c r="F28" s="367"/>
      <c r="G28" s="284">
        <v>0</v>
      </c>
      <c r="H28" s="285">
        <f t="shared" si="0"/>
        <v>0</v>
      </c>
      <c r="L28" s="26"/>
      <c r="M28" s="26"/>
    </row>
    <row r="29" spans="3:22" ht="46.5">
      <c r="C29" s="25" t="s">
        <v>206</v>
      </c>
      <c r="D29" s="23">
        <v>3</v>
      </c>
      <c r="E29" s="24">
        <v>45000</v>
      </c>
      <c r="F29" s="367"/>
      <c r="G29" s="284">
        <v>0</v>
      </c>
      <c r="H29" s="285">
        <f t="shared" si="0"/>
        <v>0</v>
      </c>
      <c r="L29" s="26"/>
      <c r="M29" s="26"/>
    </row>
    <row r="30" spans="3:22" ht="33.5" customHeight="1">
      <c r="C30" s="11"/>
      <c r="D30" s="238"/>
      <c r="G30" s="270" t="s">
        <v>332</v>
      </c>
      <c r="H30" s="281">
        <f>SUM(H20:H29)</f>
        <v>95000</v>
      </c>
    </row>
    <row r="31" spans="3:22" s="12" customFormat="1" ht="41.5" customHeight="1">
      <c r="C31" s="387" t="s">
        <v>335</v>
      </c>
      <c r="D31" s="387"/>
      <c r="E31" s="387"/>
      <c r="F31" s="387"/>
      <c r="G31" s="387"/>
      <c r="H31" s="387"/>
      <c r="I31" s="277"/>
      <c r="N31" s="278"/>
      <c r="R31" s="279"/>
      <c r="S31" s="279"/>
      <c r="T31" s="279"/>
      <c r="U31" s="279"/>
    </row>
    <row r="32" spans="3:22" s="12" customFormat="1" ht="35" customHeight="1">
      <c r="C32" s="387" t="s">
        <v>326</v>
      </c>
      <c r="D32" s="387"/>
      <c r="E32" s="387"/>
      <c r="F32" s="387"/>
      <c r="G32" s="387"/>
      <c r="H32" s="387"/>
      <c r="I32" s="228"/>
      <c r="J32" s="228"/>
      <c r="O32" s="278"/>
      <c r="S32" s="279"/>
      <c r="T32" s="279"/>
      <c r="U32" s="279"/>
      <c r="V32" s="279"/>
    </row>
    <row r="33" spans="3:12">
      <c r="C33" s="9" t="s">
        <v>36</v>
      </c>
      <c r="F33" s="11"/>
    </row>
    <row r="34" spans="3:12">
      <c r="F34" s="354" t="s">
        <v>419</v>
      </c>
      <c r="G34" s="355"/>
      <c r="H34" s="355"/>
      <c r="I34" s="355"/>
      <c r="J34" s="355"/>
      <c r="K34" s="355"/>
      <c r="L34" s="356"/>
    </row>
    <row r="35" spans="3:12" ht="33.75" customHeight="1">
      <c r="C35" s="351" t="s">
        <v>415</v>
      </c>
      <c r="D35" s="352"/>
      <c r="E35" s="37"/>
      <c r="F35" s="152"/>
      <c r="G35" s="153" t="s">
        <v>16</v>
      </c>
      <c r="H35" s="153" t="s">
        <v>131</v>
      </c>
      <c r="I35" s="153" t="s">
        <v>37</v>
      </c>
      <c r="J35" s="153" t="s">
        <v>38</v>
      </c>
      <c r="K35" s="153" t="s">
        <v>39</v>
      </c>
    </row>
    <row r="36" spans="3:12">
      <c r="C36" s="111" t="s">
        <v>40</v>
      </c>
      <c r="D36" s="39"/>
      <c r="E36" s="40"/>
      <c r="F36" s="106" t="s">
        <v>40</v>
      </c>
      <c r="G36" s="39"/>
      <c r="H36" s="39"/>
      <c r="I36" s="39"/>
      <c r="J36" s="39"/>
      <c r="K36" s="39"/>
    </row>
    <row r="37" spans="3:12">
      <c r="C37" s="41" t="s">
        <v>41</v>
      </c>
      <c r="D37" s="42">
        <f>SUMPRODUCT(D20:D29,E20:E29)</f>
        <v>689000</v>
      </c>
      <c r="E37" s="43"/>
      <c r="F37" s="50" t="s">
        <v>41</v>
      </c>
      <c r="G37" s="42">
        <f t="shared" ref="G37:G42" si="1">SUM(H37:K37)</f>
        <v>2119105.625</v>
      </c>
      <c r="H37" s="42"/>
      <c r="I37" s="42">
        <f>D37</f>
        <v>689000</v>
      </c>
      <c r="J37" s="42">
        <f>I37*(1+$G$83)</f>
        <v>706224.99999999988</v>
      </c>
      <c r="K37" s="42">
        <f>J37*(1+$G$83)</f>
        <v>723880.62499999977</v>
      </c>
    </row>
    <row r="38" spans="3:12">
      <c r="C38" s="41" t="s">
        <v>42</v>
      </c>
      <c r="D38" s="42">
        <f>D37*'3. Basic Input &amp; Assumptions'!$H$20</f>
        <v>194711.40000000002</v>
      </c>
      <c r="E38" s="43"/>
      <c r="F38" s="50" t="s">
        <v>42</v>
      </c>
      <c r="G38" s="42">
        <f t="shared" si="1"/>
        <v>598859.24962499994</v>
      </c>
      <c r="H38" s="42"/>
      <c r="I38" s="42">
        <f>I37*'3. Basic Input &amp; Assumptions'!$H$20</f>
        <v>194711.40000000002</v>
      </c>
      <c r="J38" s="42">
        <f>J37*'3. Basic Input &amp; Assumptions'!$H$20</f>
        <v>199579.18499999997</v>
      </c>
      <c r="K38" s="42">
        <f>K37*'3. Basic Input &amp; Assumptions'!$H$20</f>
        <v>204568.66462499995</v>
      </c>
    </row>
    <row r="39" spans="3:12">
      <c r="C39" s="41" t="s">
        <v>43</v>
      </c>
      <c r="D39" s="44"/>
      <c r="E39" s="43"/>
      <c r="F39" s="50" t="s">
        <v>43</v>
      </c>
      <c r="G39" s="44">
        <f t="shared" si="1"/>
        <v>0</v>
      </c>
      <c r="H39" s="42"/>
      <c r="I39" s="44">
        <f>D39</f>
        <v>0</v>
      </c>
      <c r="J39" s="44">
        <f t="shared" ref="J39:K41" si="2">I39*(1+$G$83)</f>
        <v>0</v>
      </c>
      <c r="K39" s="44">
        <f t="shared" si="2"/>
        <v>0</v>
      </c>
    </row>
    <row r="40" spans="3:12">
      <c r="C40" s="41" t="s">
        <v>44</v>
      </c>
      <c r="D40" s="44"/>
      <c r="E40" s="43"/>
      <c r="F40" s="50" t="s">
        <v>44</v>
      </c>
      <c r="G40" s="44">
        <f t="shared" si="1"/>
        <v>4500</v>
      </c>
      <c r="H40" s="167">
        <f>SUM('8. General Start Up Cost'!$F$10:$F$15)</f>
        <v>4500</v>
      </c>
      <c r="I40" s="44">
        <f>D40</f>
        <v>0</v>
      </c>
      <c r="J40" s="44">
        <f t="shared" si="2"/>
        <v>0</v>
      </c>
      <c r="K40" s="44">
        <f t="shared" si="2"/>
        <v>0</v>
      </c>
    </row>
    <row r="41" spans="3:12">
      <c r="C41" s="202" t="s">
        <v>124</v>
      </c>
      <c r="D41" s="45">
        <f>D37*('3. Basic Input &amp; Assumptions'!H19)</f>
        <v>10335</v>
      </c>
      <c r="E41" s="133" t="s">
        <v>46</v>
      </c>
      <c r="F41" s="102" t="s">
        <v>124</v>
      </c>
      <c r="G41" s="45">
        <f t="shared" si="1"/>
        <v>31786.584374999999</v>
      </c>
      <c r="H41" s="168">
        <f>SUM('8. General Start Up Cost'!$F$17:$F$20)</f>
        <v>0</v>
      </c>
      <c r="I41" s="45">
        <f>D41</f>
        <v>10335</v>
      </c>
      <c r="J41" s="45">
        <f t="shared" si="2"/>
        <v>10593.374999999998</v>
      </c>
      <c r="K41" s="45">
        <f t="shared" si="2"/>
        <v>10858.209374999997</v>
      </c>
    </row>
    <row r="42" spans="3:12">
      <c r="C42" s="46" t="s">
        <v>47</v>
      </c>
      <c r="D42" s="39">
        <f>SUM(D37:D41)</f>
        <v>894046.4</v>
      </c>
      <c r="E42" s="43"/>
      <c r="F42" s="47" t="s">
        <v>47</v>
      </c>
      <c r="G42" s="39">
        <f t="shared" si="1"/>
        <v>2754251.4589999998</v>
      </c>
      <c r="H42" s="39">
        <f>SUM(H37:H41)</f>
        <v>4500</v>
      </c>
      <c r="I42" s="39">
        <f>SUM(I37:I41)</f>
        <v>894046.4</v>
      </c>
      <c r="J42" s="39">
        <f>SUM(J37:J41)</f>
        <v>916397.55999999982</v>
      </c>
      <c r="K42" s="39">
        <f>SUM(K37:K41)</f>
        <v>939307.49899999972</v>
      </c>
    </row>
    <row r="43" spans="3:12">
      <c r="C43" s="48"/>
      <c r="D43" s="42"/>
      <c r="E43" s="43"/>
      <c r="F43" s="49"/>
      <c r="G43" s="42"/>
      <c r="H43" s="42"/>
      <c r="I43" s="42"/>
      <c r="J43" s="42"/>
      <c r="K43" s="42"/>
    </row>
    <row r="44" spans="3:12">
      <c r="C44" s="110" t="s">
        <v>48</v>
      </c>
      <c r="D44" s="42"/>
      <c r="E44" s="43"/>
      <c r="F44" s="107" t="s">
        <v>48</v>
      </c>
      <c r="G44" s="42"/>
      <c r="H44" s="42"/>
      <c r="I44" s="42"/>
      <c r="J44" s="42"/>
      <c r="K44" s="42"/>
    </row>
    <row r="45" spans="3:12">
      <c r="C45" s="41" t="s">
        <v>49</v>
      </c>
      <c r="D45" s="44">
        <v>70000</v>
      </c>
      <c r="E45" s="43"/>
      <c r="F45" s="50" t="s">
        <v>49</v>
      </c>
      <c r="G45" s="44">
        <f>SUM(H45:K45)</f>
        <v>226293.75</v>
      </c>
      <c r="H45" s="167">
        <f>'8. General Start Up Cost'!$F$24</f>
        <v>11000</v>
      </c>
      <c r="I45" s="44">
        <f t="shared" ref="I45:I52" si="3">D45</f>
        <v>70000</v>
      </c>
      <c r="J45" s="44">
        <f t="shared" ref="J45:K51" si="4">I45*(1+$G$83)</f>
        <v>71750</v>
      </c>
      <c r="K45" s="44">
        <f t="shared" si="4"/>
        <v>73543.75</v>
      </c>
    </row>
    <row r="46" spans="3:12">
      <c r="C46" s="41" t="s">
        <v>50</v>
      </c>
      <c r="D46" s="44">
        <v>9500</v>
      </c>
      <c r="E46" s="43"/>
      <c r="F46" s="50" t="s">
        <v>50</v>
      </c>
      <c r="G46" s="44">
        <f t="shared" ref="G46:G51" si="5">SUM(H46:K46)</f>
        <v>29218.4375</v>
      </c>
      <c r="H46" s="167">
        <f>'8. General Start Up Cost'!$F$25</f>
        <v>0</v>
      </c>
      <c r="I46" s="44">
        <f t="shared" si="3"/>
        <v>9500</v>
      </c>
      <c r="J46" s="44">
        <f t="shared" si="4"/>
        <v>9737.5</v>
      </c>
      <c r="K46" s="44">
        <f t="shared" si="4"/>
        <v>9980.9375</v>
      </c>
    </row>
    <row r="47" spans="3:12">
      <c r="C47" s="41" t="s">
        <v>51</v>
      </c>
      <c r="D47" s="44">
        <v>12500</v>
      </c>
      <c r="E47" s="43"/>
      <c r="F47" s="50" t="s">
        <v>51</v>
      </c>
      <c r="G47" s="44">
        <f t="shared" si="5"/>
        <v>38445.3125</v>
      </c>
      <c r="H47" s="167">
        <f>'8. General Start Up Cost'!$F$26</f>
        <v>0</v>
      </c>
      <c r="I47" s="44">
        <f t="shared" si="3"/>
        <v>12500</v>
      </c>
      <c r="J47" s="44">
        <f t="shared" si="4"/>
        <v>12812.499999999998</v>
      </c>
      <c r="K47" s="44">
        <f t="shared" si="4"/>
        <v>13132.812499999996</v>
      </c>
    </row>
    <row r="48" spans="3:12" ht="31">
      <c r="C48" s="50" t="s">
        <v>180</v>
      </c>
      <c r="D48" s="44">
        <v>10000</v>
      </c>
      <c r="E48" s="43"/>
      <c r="F48" s="50" t="s">
        <v>52</v>
      </c>
      <c r="G48" s="44">
        <f t="shared" si="5"/>
        <v>30756.25</v>
      </c>
      <c r="H48" s="42"/>
      <c r="I48" s="44">
        <f t="shared" si="3"/>
        <v>10000</v>
      </c>
      <c r="J48" s="44">
        <f t="shared" si="4"/>
        <v>10250</v>
      </c>
      <c r="K48" s="44">
        <f t="shared" si="4"/>
        <v>10506.249999999998</v>
      </c>
    </row>
    <row r="49" spans="3:11">
      <c r="C49" s="50" t="s">
        <v>53</v>
      </c>
      <c r="D49" s="44">
        <v>9600</v>
      </c>
      <c r="E49" s="43"/>
      <c r="F49" s="50" t="s">
        <v>53</v>
      </c>
      <c r="G49" s="44">
        <f t="shared" si="5"/>
        <v>29526</v>
      </c>
      <c r="H49" s="167">
        <f>'8. General Start Up Cost'!$F$27</f>
        <v>0</v>
      </c>
      <c r="I49" s="44">
        <f t="shared" si="3"/>
        <v>9600</v>
      </c>
      <c r="J49" s="44">
        <f t="shared" si="4"/>
        <v>9840</v>
      </c>
      <c r="K49" s="44">
        <f t="shared" si="4"/>
        <v>10086</v>
      </c>
    </row>
    <row r="50" spans="3:11">
      <c r="C50" s="41" t="s">
        <v>54</v>
      </c>
      <c r="D50" s="44">
        <v>5000</v>
      </c>
      <c r="E50" s="43"/>
      <c r="F50" s="50" t="s">
        <v>54</v>
      </c>
      <c r="G50" s="44">
        <f t="shared" si="5"/>
        <v>15378.125</v>
      </c>
      <c r="H50" s="167">
        <f>'8. General Start Up Cost'!$F$28</f>
        <v>0</v>
      </c>
      <c r="I50" s="44">
        <f t="shared" si="3"/>
        <v>5000</v>
      </c>
      <c r="J50" s="44">
        <f t="shared" si="4"/>
        <v>5125</v>
      </c>
      <c r="K50" s="44">
        <f t="shared" si="4"/>
        <v>5253.1249999999991</v>
      </c>
    </row>
    <row r="51" spans="3:11">
      <c r="C51" s="41" t="s">
        <v>83</v>
      </c>
      <c r="D51" s="44">
        <v>12000</v>
      </c>
      <c r="E51" s="43"/>
      <c r="F51" s="50" t="s">
        <v>55</v>
      </c>
      <c r="G51" s="44">
        <f t="shared" si="5"/>
        <v>36907.5</v>
      </c>
      <c r="H51" s="42"/>
      <c r="I51" s="44">
        <f t="shared" si="3"/>
        <v>12000</v>
      </c>
      <c r="J51" s="44">
        <f t="shared" si="4"/>
        <v>12299.999999999998</v>
      </c>
      <c r="K51" s="44">
        <f t="shared" si="4"/>
        <v>12607.499999999996</v>
      </c>
    </row>
    <row r="52" spans="3:11" ht="31">
      <c r="C52" s="50" t="s">
        <v>205</v>
      </c>
      <c r="D52" s="42">
        <f>D53*D54*D55*365</f>
        <v>9125</v>
      </c>
      <c r="E52" s="133" t="s">
        <v>46</v>
      </c>
      <c r="F52" s="50" t="s">
        <v>205</v>
      </c>
      <c r="G52" s="42">
        <f>SUM(H52:K52)</f>
        <v>27375</v>
      </c>
      <c r="H52" s="42"/>
      <c r="I52" s="42">
        <f t="shared" si="3"/>
        <v>9125</v>
      </c>
      <c r="J52" s="42">
        <f>J53*J54*365*J55</f>
        <v>9125</v>
      </c>
      <c r="K52" s="42">
        <f>K53*K54*365*K55</f>
        <v>9125</v>
      </c>
    </row>
    <row r="53" spans="3:11">
      <c r="C53" s="103" t="s">
        <v>57</v>
      </c>
      <c r="D53" s="52">
        <f>'3. Basic Input &amp; Assumptions'!H17</f>
        <v>0.625</v>
      </c>
      <c r="E53" s="133" t="s">
        <v>340</v>
      </c>
      <c r="F53" s="103" t="s">
        <v>57</v>
      </c>
      <c r="G53" s="52">
        <f>'3. Basic Input &amp; Assumptions'!$H$17</f>
        <v>0.625</v>
      </c>
      <c r="H53" s="169"/>
      <c r="I53" s="52">
        <f>'3. Basic Input &amp; Assumptions'!H17</f>
        <v>0.625</v>
      </c>
      <c r="J53" s="52">
        <f>'3. Basic Input &amp; Assumptions'!H17</f>
        <v>0.625</v>
      </c>
      <c r="K53" s="52">
        <f>'3. Basic Input &amp; Assumptions'!H17</f>
        <v>0.625</v>
      </c>
    </row>
    <row r="54" spans="3:11" ht="21.75" customHeight="1">
      <c r="C54" s="104" t="s">
        <v>59</v>
      </c>
      <c r="D54" s="53">
        <v>20</v>
      </c>
      <c r="E54" s="54"/>
      <c r="F54" s="104" t="s">
        <v>59</v>
      </c>
      <c r="G54" s="53">
        <f>'3. Basic Input &amp; Assumptions'!$H$15</f>
        <v>20</v>
      </c>
      <c r="H54" s="170"/>
      <c r="I54" s="53">
        <f t="shared" ref="I54:I65" si="6">D54</f>
        <v>20</v>
      </c>
      <c r="J54" s="53">
        <f>I54</f>
        <v>20</v>
      </c>
      <c r="K54" s="53">
        <f>J54</f>
        <v>20</v>
      </c>
    </row>
    <row r="55" spans="3:11" ht="29">
      <c r="C55" s="104" t="s">
        <v>60</v>
      </c>
      <c r="D55" s="53">
        <v>2</v>
      </c>
      <c r="E55" s="134" t="s">
        <v>91</v>
      </c>
      <c r="F55" s="104" t="s">
        <v>60</v>
      </c>
      <c r="G55" s="53">
        <f>AVERAGE(H55:K55)</f>
        <v>2</v>
      </c>
      <c r="H55" s="170"/>
      <c r="I55" s="53">
        <f t="shared" si="6"/>
        <v>2</v>
      </c>
      <c r="J55" s="53">
        <f>I55</f>
        <v>2</v>
      </c>
      <c r="K55" s="53">
        <f>J55</f>
        <v>2</v>
      </c>
    </row>
    <row r="56" spans="3:11">
      <c r="C56" s="41" t="s">
        <v>61</v>
      </c>
      <c r="D56" s="44">
        <v>0</v>
      </c>
      <c r="E56" s="51"/>
      <c r="F56" s="50" t="s">
        <v>61</v>
      </c>
      <c r="G56" s="44">
        <f>SUM(H56:K56)</f>
        <v>0</v>
      </c>
      <c r="H56" s="167">
        <f>'8. General Start Up Cost'!$F$29</f>
        <v>0</v>
      </c>
      <c r="I56" s="44">
        <f t="shared" si="6"/>
        <v>0</v>
      </c>
      <c r="J56" s="44">
        <f t="shared" ref="J56:K65" si="7">I56*(1+$G$83)</f>
        <v>0</v>
      </c>
      <c r="K56" s="44">
        <f t="shared" si="7"/>
        <v>0</v>
      </c>
    </row>
    <row r="57" spans="3:11">
      <c r="C57" s="41" t="s">
        <v>62</v>
      </c>
      <c r="D57" s="44">
        <v>0</v>
      </c>
      <c r="E57" s="43"/>
      <c r="F57" s="50" t="s">
        <v>62</v>
      </c>
      <c r="G57" s="44">
        <f t="shared" ref="G57:G65" si="8">SUM(H57:K57)</f>
        <v>0</v>
      </c>
      <c r="H57" s="167">
        <f>'8. General Start Up Cost'!$F$30</f>
        <v>0</v>
      </c>
      <c r="I57" s="44">
        <f t="shared" si="6"/>
        <v>0</v>
      </c>
      <c r="J57" s="44">
        <f t="shared" si="7"/>
        <v>0</v>
      </c>
      <c r="K57" s="44">
        <f t="shared" si="7"/>
        <v>0</v>
      </c>
    </row>
    <row r="58" spans="3:11">
      <c r="C58" s="41" t="s">
        <v>63</v>
      </c>
      <c r="D58" s="44">
        <v>0</v>
      </c>
      <c r="E58" s="43"/>
      <c r="F58" s="50" t="s">
        <v>63</v>
      </c>
      <c r="G58" s="44">
        <f t="shared" si="8"/>
        <v>0</v>
      </c>
      <c r="H58" s="42"/>
      <c r="I58" s="44">
        <f t="shared" si="6"/>
        <v>0</v>
      </c>
      <c r="J58" s="44">
        <f t="shared" si="7"/>
        <v>0</v>
      </c>
      <c r="K58" s="44">
        <f t="shared" si="7"/>
        <v>0</v>
      </c>
    </row>
    <row r="59" spans="3:11">
      <c r="C59" s="41" t="s">
        <v>64</v>
      </c>
      <c r="D59" s="44">
        <v>0</v>
      </c>
      <c r="E59" s="43"/>
      <c r="F59" s="50" t="s">
        <v>64</v>
      </c>
      <c r="G59" s="44">
        <f t="shared" si="8"/>
        <v>0</v>
      </c>
      <c r="H59" s="42"/>
      <c r="I59" s="44">
        <f t="shared" si="6"/>
        <v>0</v>
      </c>
      <c r="J59" s="44">
        <f t="shared" si="7"/>
        <v>0</v>
      </c>
      <c r="K59" s="44">
        <f t="shared" si="7"/>
        <v>0</v>
      </c>
    </row>
    <row r="60" spans="3:11">
      <c r="C60" s="41" t="s">
        <v>65</v>
      </c>
      <c r="D60" s="44">
        <v>0</v>
      </c>
      <c r="E60" s="43"/>
      <c r="F60" s="50" t="s">
        <v>65</v>
      </c>
      <c r="G60" s="44">
        <f t="shared" si="8"/>
        <v>0</v>
      </c>
      <c r="H60" s="167">
        <f>'8. General Start Up Cost'!$F$31</f>
        <v>0</v>
      </c>
      <c r="I60" s="44">
        <f t="shared" si="6"/>
        <v>0</v>
      </c>
      <c r="J60" s="44">
        <f t="shared" si="7"/>
        <v>0</v>
      </c>
      <c r="K60" s="44">
        <f t="shared" si="7"/>
        <v>0</v>
      </c>
    </row>
    <row r="61" spans="3:11" ht="46.5">
      <c r="C61" s="50" t="s">
        <v>66</v>
      </c>
      <c r="D61" s="44">
        <v>0</v>
      </c>
      <c r="E61" s="43"/>
      <c r="F61" s="50" t="s">
        <v>66</v>
      </c>
      <c r="G61" s="44">
        <f t="shared" si="8"/>
        <v>4300</v>
      </c>
      <c r="H61" s="167">
        <f>SUM('8. General Start Up Cost'!$F$33:$F$42)</f>
        <v>4300</v>
      </c>
      <c r="I61" s="44">
        <f t="shared" si="6"/>
        <v>0</v>
      </c>
      <c r="J61" s="44">
        <f t="shared" si="7"/>
        <v>0</v>
      </c>
      <c r="K61" s="44">
        <f t="shared" si="7"/>
        <v>0</v>
      </c>
    </row>
    <row r="62" spans="3:11">
      <c r="C62" s="41" t="s">
        <v>318</v>
      </c>
      <c r="D62" s="44">
        <v>0</v>
      </c>
      <c r="E62" s="43"/>
      <c r="F62" s="50" t="s">
        <v>68</v>
      </c>
      <c r="G62" s="44">
        <f t="shared" si="8"/>
        <v>0</v>
      </c>
      <c r="H62" s="42"/>
      <c r="I62" s="44">
        <f t="shared" si="6"/>
        <v>0</v>
      </c>
      <c r="J62" s="44">
        <f t="shared" si="7"/>
        <v>0</v>
      </c>
      <c r="K62" s="44">
        <f t="shared" si="7"/>
        <v>0</v>
      </c>
    </row>
    <row r="63" spans="3:11">
      <c r="C63" s="41" t="s">
        <v>69</v>
      </c>
      <c r="D63" s="44">
        <v>0</v>
      </c>
      <c r="E63" s="43"/>
      <c r="F63" s="50" t="s">
        <v>69</v>
      </c>
      <c r="G63" s="44">
        <f t="shared" si="8"/>
        <v>0</v>
      </c>
      <c r="H63" s="42"/>
      <c r="I63" s="44">
        <f t="shared" si="6"/>
        <v>0</v>
      </c>
      <c r="J63" s="44">
        <f t="shared" si="7"/>
        <v>0</v>
      </c>
      <c r="K63" s="44">
        <f t="shared" si="7"/>
        <v>0</v>
      </c>
    </row>
    <row r="64" spans="3:11" ht="46.5">
      <c r="C64" s="50" t="s">
        <v>236</v>
      </c>
      <c r="D64" s="44">
        <v>60000</v>
      </c>
      <c r="E64" s="43"/>
      <c r="F64" s="50" t="s">
        <v>381</v>
      </c>
      <c r="G64" s="44">
        <f t="shared" si="8"/>
        <v>220937.5</v>
      </c>
      <c r="H64" s="167">
        <f>SUM('8. General Start Up Cost'!$F$46:$F$49)</f>
        <v>36400</v>
      </c>
      <c r="I64" s="44">
        <f t="shared" si="6"/>
        <v>60000</v>
      </c>
      <c r="J64" s="44">
        <f t="shared" si="7"/>
        <v>61499.999999999993</v>
      </c>
      <c r="K64" s="44">
        <f t="shared" si="7"/>
        <v>63037.499999999985</v>
      </c>
    </row>
    <row r="65" spans="3:11">
      <c r="C65" s="55" t="s">
        <v>71</v>
      </c>
      <c r="D65" s="45">
        <v>0</v>
      </c>
      <c r="E65" s="43"/>
      <c r="F65" s="55" t="s">
        <v>71</v>
      </c>
      <c r="G65" s="45">
        <f t="shared" si="8"/>
        <v>0</v>
      </c>
      <c r="H65" s="58"/>
      <c r="I65" s="45">
        <f t="shared" si="6"/>
        <v>0</v>
      </c>
      <c r="J65" s="45">
        <f t="shared" si="7"/>
        <v>0</v>
      </c>
      <c r="K65" s="45">
        <f t="shared" si="7"/>
        <v>0</v>
      </c>
    </row>
    <row r="66" spans="3:11">
      <c r="C66" s="56" t="s">
        <v>72</v>
      </c>
      <c r="D66" s="39">
        <f>SUM(D45:D65)</f>
        <v>197747.625</v>
      </c>
      <c r="E66" s="43"/>
      <c r="F66" s="57" t="s">
        <v>72</v>
      </c>
      <c r="G66" s="39">
        <f>SUM(H66:K66)</f>
        <v>659205.75</v>
      </c>
      <c r="H66" s="39">
        <f>SUM(H45:H65)</f>
        <v>51700</v>
      </c>
      <c r="I66" s="39">
        <f>SUM(I45:I65)</f>
        <v>197747.625</v>
      </c>
      <c r="J66" s="39">
        <f>SUM(J45:J65)</f>
        <v>202462.625</v>
      </c>
      <c r="K66" s="39">
        <f>SUM(K45:K65)</f>
        <v>207295.5</v>
      </c>
    </row>
    <row r="67" spans="3:11">
      <c r="C67" s="48"/>
      <c r="D67" s="42"/>
      <c r="E67" s="43"/>
      <c r="F67" s="49"/>
      <c r="G67" s="42"/>
      <c r="H67" s="42"/>
      <c r="I67" s="42"/>
      <c r="J67" s="42"/>
      <c r="K67" s="42"/>
    </row>
    <row r="68" spans="3:11">
      <c r="C68" s="110" t="s">
        <v>73</v>
      </c>
      <c r="D68" s="42">
        <f>D42+D66</f>
        <v>1091794.0249999999</v>
      </c>
      <c r="E68" s="43"/>
      <c r="F68" s="107" t="s">
        <v>73</v>
      </c>
      <c r="G68" s="42">
        <f>SUM(H68:K68)</f>
        <v>3413457.2089999998</v>
      </c>
      <c r="H68" s="167">
        <f>SUM(H42,H66)</f>
        <v>56200</v>
      </c>
      <c r="I68" s="42">
        <f>I42+I66</f>
        <v>1091794.0249999999</v>
      </c>
      <c r="J68" s="42">
        <f>J42+J66</f>
        <v>1118860.1849999998</v>
      </c>
      <c r="K68" s="42">
        <f>K42+K66</f>
        <v>1146602.9989999998</v>
      </c>
    </row>
    <row r="69" spans="3:11">
      <c r="C69" s="112" t="s">
        <v>74</v>
      </c>
      <c r="D69" s="58">
        <f>D68*('3. Basic Input &amp; Assumptions'!H14)</f>
        <v>163769.10374999998</v>
      </c>
      <c r="E69" s="43"/>
      <c r="F69" s="108" t="s">
        <v>74</v>
      </c>
      <c r="G69" s="58">
        <f>SUM(H69:K69)</f>
        <v>512018.58134999993</v>
      </c>
      <c r="H69" s="168">
        <f>H68*'3. Basic Input &amp; Assumptions'!$H$14</f>
        <v>8430</v>
      </c>
      <c r="I69" s="58">
        <f>I68*('3. Basic Input &amp; Assumptions'!$H$14)</f>
        <v>163769.10374999998</v>
      </c>
      <c r="J69" s="58">
        <f>J68*('3. Basic Input &amp; Assumptions'!$H$14)</f>
        <v>167829.02774999998</v>
      </c>
      <c r="K69" s="58">
        <f>K68*('3. Basic Input &amp; Assumptions'!H14)</f>
        <v>171990.44984999998</v>
      </c>
    </row>
    <row r="70" spans="3:11">
      <c r="C70" s="111" t="s">
        <v>136</v>
      </c>
      <c r="D70" s="39">
        <f>D68+D69</f>
        <v>1255563.1287499999</v>
      </c>
      <c r="E70" s="43"/>
      <c r="F70" s="111" t="s">
        <v>136</v>
      </c>
      <c r="G70" s="39">
        <f>SUM(H70:K70)</f>
        <v>3925475.7903499994</v>
      </c>
      <c r="H70" s="171">
        <f>SUM(H68:H69)</f>
        <v>64630</v>
      </c>
      <c r="I70" s="101">
        <f>I68+I69</f>
        <v>1255563.1287499999</v>
      </c>
      <c r="J70" s="101">
        <f>J68+J69</f>
        <v>1286689.2127499997</v>
      </c>
      <c r="K70" s="101">
        <f>K68+K69</f>
        <v>1318593.4488499998</v>
      </c>
    </row>
    <row r="71" spans="3:11">
      <c r="C71" s="111"/>
      <c r="D71" s="39"/>
      <c r="E71" s="43"/>
      <c r="F71" s="106"/>
      <c r="G71" s="42"/>
      <c r="H71" s="42"/>
      <c r="I71" s="39"/>
      <c r="J71" s="39"/>
      <c r="K71" s="39"/>
    </row>
    <row r="72" spans="3:11">
      <c r="C72" s="110" t="s">
        <v>137</v>
      </c>
      <c r="D72" s="42"/>
      <c r="E72" s="40"/>
      <c r="F72" s="110" t="s">
        <v>137</v>
      </c>
      <c r="G72" s="42"/>
      <c r="H72" s="42"/>
      <c r="I72" s="42"/>
      <c r="J72" s="42"/>
      <c r="K72" s="42"/>
    </row>
    <row r="73" spans="3:11">
      <c r="C73" s="179" t="s">
        <v>75</v>
      </c>
      <c r="D73" s="44">
        <f>H30</f>
        <v>95000</v>
      </c>
      <c r="E73" s="40"/>
      <c r="F73" s="179" t="s">
        <v>75</v>
      </c>
      <c r="G73" s="44">
        <f t="shared" ref="G73:G79" si="9">SUM(H73:K73)</f>
        <v>285000</v>
      </c>
      <c r="H73" s="167">
        <v>0</v>
      </c>
      <c r="I73" s="44">
        <f t="shared" ref="I73:I79" si="10">D73</f>
        <v>95000</v>
      </c>
      <c r="J73" s="44">
        <f t="shared" ref="J73:K78" si="11">I73</f>
        <v>95000</v>
      </c>
      <c r="K73" s="44">
        <f t="shared" si="11"/>
        <v>95000</v>
      </c>
    </row>
    <row r="74" spans="3:11">
      <c r="C74" s="41" t="s">
        <v>358</v>
      </c>
      <c r="D74" s="44">
        <v>0</v>
      </c>
      <c r="E74" s="40"/>
      <c r="F74" s="50" t="s">
        <v>358</v>
      </c>
      <c r="G74" s="44">
        <f t="shared" si="9"/>
        <v>0</v>
      </c>
      <c r="H74" s="167">
        <v>0</v>
      </c>
      <c r="I74" s="44">
        <f t="shared" si="10"/>
        <v>0</v>
      </c>
      <c r="J74" s="44">
        <f t="shared" si="11"/>
        <v>0</v>
      </c>
      <c r="K74" s="44">
        <f t="shared" si="11"/>
        <v>0</v>
      </c>
    </row>
    <row r="75" spans="3:11">
      <c r="C75" s="41" t="s">
        <v>77</v>
      </c>
      <c r="D75" s="44">
        <v>0</v>
      </c>
      <c r="E75" s="40"/>
      <c r="F75" s="50" t="s">
        <v>77</v>
      </c>
      <c r="G75" s="44">
        <f t="shared" si="9"/>
        <v>0</v>
      </c>
      <c r="H75" s="167">
        <v>0</v>
      </c>
      <c r="I75" s="44">
        <f t="shared" si="10"/>
        <v>0</v>
      </c>
      <c r="J75" s="44">
        <f t="shared" si="11"/>
        <v>0</v>
      </c>
      <c r="K75" s="44">
        <f t="shared" si="11"/>
        <v>0</v>
      </c>
    </row>
    <row r="76" spans="3:11">
      <c r="C76" s="50" t="s">
        <v>203</v>
      </c>
      <c r="D76" s="44">
        <v>0</v>
      </c>
      <c r="E76" s="40"/>
      <c r="F76" s="50" t="s">
        <v>203</v>
      </c>
      <c r="G76" s="44">
        <f t="shared" si="9"/>
        <v>0</v>
      </c>
      <c r="H76" s="167">
        <v>0</v>
      </c>
      <c r="I76" s="44">
        <f t="shared" si="10"/>
        <v>0</v>
      </c>
      <c r="J76" s="44">
        <f t="shared" si="11"/>
        <v>0</v>
      </c>
      <c r="K76" s="44">
        <f t="shared" si="11"/>
        <v>0</v>
      </c>
    </row>
    <row r="77" spans="3:11">
      <c r="C77" s="41" t="s">
        <v>76</v>
      </c>
      <c r="D77" s="44">
        <v>0</v>
      </c>
      <c r="E77" s="40"/>
      <c r="F77" s="50" t="s">
        <v>76</v>
      </c>
      <c r="G77" s="44">
        <f t="shared" si="9"/>
        <v>0</v>
      </c>
      <c r="H77" s="167">
        <v>0</v>
      </c>
      <c r="I77" s="44">
        <f t="shared" si="10"/>
        <v>0</v>
      </c>
      <c r="J77" s="44">
        <f t="shared" si="11"/>
        <v>0</v>
      </c>
      <c r="K77" s="44">
        <f t="shared" si="11"/>
        <v>0</v>
      </c>
    </row>
    <row r="78" spans="3:11">
      <c r="C78" s="60" t="s">
        <v>78</v>
      </c>
      <c r="D78" s="45">
        <v>0</v>
      </c>
      <c r="E78" s="40"/>
      <c r="F78" s="55" t="s">
        <v>78</v>
      </c>
      <c r="G78" s="44">
        <f t="shared" si="9"/>
        <v>0</v>
      </c>
      <c r="H78" s="168">
        <v>0</v>
      </c>
      <c r="I78" s="45">
        <f t="shared" si="10"/>
        <v>0</v>
      </c>
      <c r="J78" s="45">
        <f t="shared" si="11"/>
        <v>0</v>
      </c>
      <c r="K78" s="45">
        <f t="shared" si="11"/>
        <v>0</v>
      </c>
    </row>
    <row r="79" spans="3:11">
      <c r="C79" s="178" t="s">
        <v>86</v>
      </c>
      <c r="D79" s="39">
        <f>SUM(D73:D78)</f>
        <v>95000</v>
      </c>
      <c r="E79" s="40"/>
      <c r="F79" s="178" t="s">
        <v>86</v>
      </c>
      <c r="G79" s="58">
        <f t="shared" si="9"/>
        <v>285000</v>
      </c>
      <c r="H79" s="171">
        <f>SUM(H73:H78)</f>
        <v>0</v>
      </c>
      <c r="I79" s="39">
        <f t="shared" si="10"/>
        <v>95000</v>
      </c>
      <c r="J79" s="39">
        <f>SUM(J73:J78)</f>
        <v>95000</v>
      </c>
      <c r="K79" s="39">
        <f>SUM(K73:K78)</f>
        <v>95000</v>
      </c>
    </row>
    <row r="80" spans="3:11">
      <c r="C80" s="61"/>
      <c r="D80" s="62"/>
      <c r="E80" s="40"/>
      <c r="F80" s="63"/>
      <c r="G80" s="62"/>
      <c r="H80" s="62"/>
      <c r="I80" s="62"/>
      <c r="J80" s="62"/>
      <c r="K80" s="62"/>
    </row>
    <row r="81" spans="3:11">
      <c r="C81" s="113" t="s">
        <v>138</v>
      </c>
      <c r="D81" s="64">
        <f>D79-D70</f>
        <v>-1160563.1287499999</v>
      </c>
      <c r="E81" s="40"/>
      <c r="F81" s="109" t="s">
        <v>79</v>
      </c>
      <c r="G81" s="64">
        <f>SUM(H81:K81)</f>
        <v>-3640475.7903499994</v>
      </c>
      <c r="H81" s="64">
        <f>H79-H70</f>
        <v>-64630</v>
      </c>
      <c r="I81" s="64">
        <f>I79-I70</f>
        <v>-1160563.1287499999</v>
      </c>
      <c r="J81" s="64">
        <f>J79-J70</f>
        <v>-1191689.2127499997</v>
      </c>
      <c r="K81" s="64">
        <f>K79-K70</f>
        <v>-1223593.4488499998</v>
      </c>
    </row>
    <row r="83" spans="3:11">
      <c r="C83" s="382"/>
      <c r="D83" s="382"/>
      <c r="F83" s="10" t="s">
        <v>80</v>
      </c>
      <c r="G83" s="65">
        <f>'3. Basic Input &amp; Assumptions'!H18</f>
        <v>2.5000000000000001E-2</v>
      </c>
      <c r="H83" s="65"/>
      <c r="I83" s="65"/>
    </row>
    <row r="84" spans="3:11">
      <c r="C84" s="382"/>
      <c r="D84" s="382"/>
    </row>
    <row r="85" spans="3:11">
      <c r="C85" s="382"/>
      <c r="D85" s="382"/>
    </row>
    <row r="86" spans="3:11">
      <c r="C86" s="382"/>
      <c r="D86" s="382"/>
    </row>
  </sheetData>
  <mergeCells count="17">
    <mergeCell ref="D1:I1"/>
    <mergeCell ref="C6:G6"/>
    <mergeCell ref="B9:D9"/>
    <mergeCell ref="C10:H11"/>
    <mergeCell ref="C7:D7"/>
    <mergeCell ref="E7:F7"/>
    <mergeCell ref="C15:H15"/>
    <mergeCell ref="C31:H31"/>
    <mergeCell ref="C17:E17"/>
    <mergeCell ref="C35:D35"/>
    <mergeCell ref="C83:D86"/>
    <mergeCell ref="F34:L34"/>
    <mergeCell ref="C32:H32"/>
    <mergeCell ref="F18:F19"/>
    <mergeCell ref="G18:G19"/>
    <mergeCell ref="H18:H19"/>
    <mergeCell ref="F20:F29"/>
  </mergeCells>
  <conditionalFormatting sqref="G18:H30">
    <cfRule type="expression" dxfId="2" priority="1">
      <formula>$F$20="No"</formula>
    </cfRule>
  </conditionalFormatting>
  <dataValidations count="3">
    <dataValidation allowBlank="1" showDropDown="1" showInputMessage="1" showErrorMessage="1" sqref="C13" xr:uid="{00000000-0002-0000-0700-000000000000}"/>
    <dataValidation type="whole" allowBlank="1" showInputMessage="1" showErrorMessage="1" sqref="F13 D13" xr:uid="{00000000-0002-0000-0700-000001000000}">
      <formula1>0</formula1>
      <formula2>100000</formula2>
    </dataValidation>
    <dataValidation type="list" allowBlank="1" showInputMessage="1" showErrorMessage="1" sqref="F20:F29" xr:uid="{00000000-0002-0000-0700-000002000000}">
      <formula1>"Yes, No"</formula1>
    </dataValidation>
  </dataValidations>
  <hyperlinks>
    <hyperlink ref="H5" r:id="rId1" display="Click here to view more resources and references on the CTI model" xr:uid="{00000000-0004-0000-0700-000000000000}"/>
    <hyperlink ref="C8" r:id="rId2" xr:uid="{6DB4FEDD-91EB-4774-A95A-73E671CDC15D}"/>
  </hyperlinks>
  <pageMargins left="0.7" right="0.7" top="0.75" bottom="0.75" header="0.3" footer="0.3"/>
  <pageSetup orientation="portrait" horizontalDpi="1200" verticalDpi="120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B1:I89"/>
  <sheetViews>
    <sheetView topLeftCell="A57" zoomScaleNormal="100" workbookViewId="0">
      <selection activeCell="I91" sqref="I91"/>
    </sheetView>
  </sheetViews>
  <sheetFormatPr defaultColWidth="9.1796875" defaultRowHeight="14.5"/>
  <cols>
    <col min="1" max="1" width="1" style="188" customWidth="1"/>
    <col min="2" max="2" width="31.81640625" style="188" customWidth="1"/>
    <col min="3" max="4" width="15.6328125" style="188" customWidth="1"/>
    <col min="5" max="5" width="11.453125" style="188" customWidth="1"/>
    <col min="6" max="6" width="17.26953125" style="188" customWidth="1"/>
    <col min="7" max="7" width="45.453125" style="189" customWidth="1"/>
    <col min="8" max="8" width="9.1796875" style="188"/>
    <col min="9" max="9" width="9.1796875" style="188" customWidth="1"/>
    <col min="10" max="16384" width="9.1796875" style="188"/>
  </cols>
  <sheetData>
    <row r="1" spans="2:7" s="3" customFormat="1" ht="15.5">
      <c r="B1" s="1"/>
      <c r="C1" s="2"/>
      <c r="D1" s="2"/>
    </row>
    <row r="2" spans="2:7" ht="15.5">
      <c r="B2" s="390" t="s">
        <v>92</v>
      </c>
      <c r="C2" s="390"/>
      <c r="D2" s="390"/>
      <c r="E2" s="390"/>
      <c r="F2" s="390"/>
      <c r="G2" s="390"/>
    </row>
    <row r="3" spans="2:7" ht="30" customHeight="1">
      <c r="B3" s="393"/>
      <c r="C3" s="393"/>
      <c r="D3" s="393"/>
      <c r="E3" s="393"/>
      <c r="F3" s="393"/>
      <c r="G3" s="393"/>
    </row>
    <row r="4" spans="2:7" ht="15" customHeight="1">
      <c r="B4" s="392" t="s">
        <v>239</v>
      </c>
      <c r="C4" s="391"/>
      <c r="D4" s="391"/>
      <c r="E4" s="391"/>
      <c r="F4" s="391"/>
      <c r="G4" s="391"/>
    </row>
    <row r="5" spans="2:7" ht="88" customHeight="1">
      <c r="B5" s="391"/>
      <c r="C5" s="391"/>
      <c r="D5" s="391"/>
      <c r="E5" s="391"/>
      <c r="F5" s="391"/>
      <c r="G5" s="391"/>
    </row>
    <row r="6" spans="2:7" ht="15" customHeight="1">
      <c r="B6" s="391"/>
      <c r="C6" s="391"/>
      <c r="D6" s="391"/>
      <c r="E6" s="391"/>
      <c r="F6" s="391"/>
      <c r="G6" s="391"/>
    </row>
    <row r="7" spans="2:7" ht="15" customHeight="1">
      <c r="B7" s="152"/>
      <c r="C7" s="157" t="s">
        <v>93</v>
      </c>
      <c r="D7" s="153" t="s">
        <v>98</v>
      </c>
      <c r="E7" s="153" t="s">
        <v>117</v>
      </c>
      <c r="F7" s="153" t="s">
        <v>94</v>
      </c>
      <c r="G7" s="154" t="s">
        <v>100</v>
      </c>
    </row>
    <row r="8" spans="2:7" ht="15" customHeight="1">
      <c r="B8" s="106" t="s">
        <v>40</v>
      </c>
      <c r="C8" s="158"/>
      <c r="D8" s="39"/>
      <c r="E8" s="39"/>
      <c r="F8" s="39"/>
      <c r="G8" s="155"/>
    </row>
    <row r="9" spans="2:7" ht="15" customHeight="1">
      <c r="B9" s="106" t="s">
        <v>44</v>
      </c>
      <c r="C9" s="158"/>
      <c r="D9" s="39"/>
      <c r="E9" s="39"/>
      <c r="F9" s="39"/>
      <c r="G9" s="155"/>
    </row>
    <row r="10" spans="2:7" ht="15.5">
      <c r="B10" s="50" t="s">
        <v>95</v>
      </c>
      <c r="C10" s="159"/>
      <c r="D10" s="44">
        <v>500</v>
      </c>
      <c r="E10" s="53">
        <v>1</v>
      </c>
      <c r="F10" s="167">
        <f>IF('3. Basic Input &amp; Assumptions'!$D$6="No",0,D10*E10)</f>
        <v>500</v>
      </c>
      <c r="G10" s="156" t="s">
        <v>101</v>
      </c>
    </row>
    <row r="11" spans="2:7" ht="26.5">
      <c r="B11" s="50" t="s">
        <v>96</v>
      </c>
      <c r="C11" s="159" t="s">
        <v>99</v>
      </c>
      <c r="D11" s="44">
        <v>2000</v>
      </c>
      <c r="E11" s="53">
        <v>2</v>
      </c>
      <c r="F11" s="167">
        <f>IF('3. Basic Input &amp; Assumptions'!$D$6="No",0,D11*E11)</f>
        <v>4000</v>
      </c>
      <c r="G11" s="156" t="s">
        <v>102</v>
      </c>
    </row>
    <row r="12" spans="2:7" ht="15" customHeight="1">
      <c r="B12" s="50" t="s">
        <v>97</v>
      </c>
      <c r="C12" s="159" t="s">
        <v>99</v>
      </c>
      <c r="D12" s="44"/>
      <c r="E12" s="53"/>
      <c r="F12" s="167">
        <f>IF('3. Basic Input &amp; Assumptions'!$D$6="No",0,D12*E12)</f>
        <v>0</v>
      </c>
      <c r="G12" s="156" t="s">
        <v>103</v>
      </c>
    </row>
    <row r="13" spans="2:7" ht="15" customHeight="1">
      <c r="B13" s="50" t="s">
        <v>142</v>
      </c>
      <c r="C13" s="159"/>
      <c r="D13" s="44"/>
      <c r="E13" s="53"/>
      <c r="F13" s="167">
        <f>IF('3. Basic Input &amp; Assumptions'!$D$6="No",0,D13*E13)</f>
        <v>0</v>
      </c>
      <c r="G13" s="156"/>
    </row>
    <row r="14" spans="2:7" ht="15" customHeight="1">
      <c r="B14" s="50" t="s">
        <v>317</v>
      </c>
      <c r="C14" s="159"/>
      <c r="D14" s="44"/>
      <c r="E14" s="53"/>
      <c r="F14" s="167">
        <f>IF('3. Basic Input &amp; Assumptions'!$D$6="No",0,D14*E14)</f>
        <v>0</v>
      </c>
      <c r="G14" s="156"/>
    </row>
    <row r="15" spans="2:7" ht="15" customHeight="1">
      <c r="B15" s="50" t="s">
        <v>129</v>
      </c>
      <c r="C15" s="159"/>
      <c r="D15" s="44"/>
      <c r="E15" s="53"/>
      <c r="F15" s="167">
        <f>IF('3. Basic Input &amp; Assumptions'!$D$6="No",0,D15*E15)</f>
        <v>0</v>
      </c>
      <c r="G15" s="156"/>
    </row>
    <row r="16" spans="2:7" ht="15" customHeight="1">
      <c r="B16" s="106" t="s">
        <v>132</v>
      </c>
      <c r="C16" s="158"/>
      <c r="D16" s="39"/>
      <c r="E16" s="39"/>
      <c r="F16" s="39"/>
      <c r="G16" s="155"/>
    </row>
    <row r="17" spans="2:7" ht="15" customHeight="1">
      <c r="B17" s="50" t="s">
        <v>114</v>
      </c>
      <c r="C17" s="159" t="s">
        <v>99</v>
      </c>
      <c r="D17" s="44"/>
      <c r="E17" s="53"/>
      <c r="F17" s="167"/>
      <c r="G17" s="156" t="s">
        <v>115</v>
      </c>
    </row>
    <row r="18" spans="2:7" ht="15" customHeight="1">
      <c r="B18" s="50" t="s">
        <v>129</v>
      </c>
      <c r="C18" s="159"/>
      <c r="D18" s="44"/>
      <c r="E18" s="53"/>
      <c r="F18" s="167">
        <f>IF('3. Basic Input &amp; Assumptions'!$D$6="No",0,D18*E18)</f>
        <v>0</v>
      </c>
      <c r="G18" s="156"/>
    </row>
    <row r="19" spans="2:7" ht="15" customHeight="1">
      <c r="B19" s="50" t="s">
        <v>129</v>
      </c>
      <c r="C19" s="159"/>
      <c r="D19" s="44"/>
      <c r="E19" s="53"/>
      <c r="F19" s="167">
        <f>IF('3. Basic Input &amp; Assumptions'!$D$6="No",0,D19*E19)</f>
        <v>0</v>
      </c>
      <c r="G19" s="156"/>
    </row>
    <row r="20" spans="2:7" ht="15" customHeight="1">
      <c r="B20" s="50" t="s">
        <v>129</v>
      </c>
      <c r="C20" s="159"/>
      <c r="D20" s="44"/>
      <c r="E20" s="53"/>
      <c r="F20" s="167">
        <f>IF('3. Basic Input &amp; Assumptions'!$D$6="No",0,D20*E20)</f>
        <v>0</v>
      </c>
      <c r="G20" s="156"/>
    </row>
    <row r="21" spans="2:7" ht="15" customHeight="1">
      <c r="B21" s="47" t="s">
        <v>133</v>
      </c>
      <c r="C21" s="160"/>
      <c r="D21" s="161"/>
      <c r="E21" s="161"/>
      <c r="F21" s="172">
        <f>SUM(F10:F20)</f>
        <v>4500</v>
      </c>
      <c r="G21" s="173"/>
    </row>
    <row r="22" spans="2:7" ht="15" customHeight="1">
      <c r="B22" s="106"/>
      <c r="C22" s="158"/>
      <c r="D22" s="39"/>
      <c r="E22" s="39"/>
      <c r="F22" s="39"/>
      <c r="G22" s="155"/>
    </row>
    <row r="23" spans="2:7" ht="15" customHeight="1">
      <c r="B23" s="106" t="s">
        <v>48</v>
      </c>
      <c r="C23" s="158"/>
      <c r="D23" s="39"/>
      <c r="E23" s="39"/>
      <c r="F23" s="39"/>
      <c r="G23" s="155"/>
    </row>
    <row r="24" spans="2:7" ht="15" customHeight="1">
      <c r="B24" s="50" t="s">
        <v>49</v>
      </c>
      <c r="C24" s="159" t="s">
        <v>118</v>
      </c>
      <c r="D24" s="44">
        <v>5500</v>
      </c>
      <c r="E24" s="53">
        <v>2</v>
      </c>
      <c r="F24" s="167">
        <f>IF('3. Basic Input &amp; Assumptions'!$D$6="No",0,D24*E24)</f>
        <v>11000</v>
      </c>
      <c r="G24" s="156" t="s">
        <v>121</v>
      </c>
    </row>
    <row r="25" spans="2:7" ht="15" customHeight="1">
      <c r="B25" s="50" t="s">
        <v>50</v>
      </c>
      <c r="C25" s="159"/>
      <c r="D25" s="44"/>
      <c r="E25" s="53"/>
      <c r="F25" s="167">
        <f>IF('3. Basic Input &amp; Assumptions'!$D$6="No",0,D25*E25)</f>
        <v>0</v>
      </c>
      <c r="G25" s="156" t="s">
        <v>120</v>
      </c>
    </row>
    <row r="26" spans="2:7" ht="26.5">
      <c r="B26" s="50" t="s">
        <v>51</v>
      </c>
      <c r="C26" s="159"/>
      <c r="D26" s="44"/>
      <c r="E26" s="53"/>
      <c r="F26" s="167">
        <f>IF('3. Basic Input &amp; Assumptions'!$D$6="No",0,D26*E26)</f>
        <v>0</v>
      </c>
      <c r="G26" s="156" t="s">
        <v>122</v>
      </c>
    </row>
    <row r="27" spans="2:7" ht="39.5">
      <c r="B27" s="50" t="s">
        <v>134</v>
      </c>
      <c r="C27" s="159"/>
      <c r="D27" s="44"/>
      <c r="E27" s="53"/>
      <c r="F27" s="167">
        <f>IF('3. Basic Input &amp; Assumptions'!$D$6="No",0,D27*E27)</f>
        <v>0</v>
      </c>
      <c r="G27" s="156" t="s">
        <v>372</v>
      </c>
    </row>
    <row r="28" spans="2:7" ht="26.5">
      <c r="B28" s="50" t="s">
        <v>112</v>
      </c>
      <c r="C28" s="159"/>
      <c r="D28" s="44"/>
      <c r="E28" s="53"/>
      <c r="F28" s="167">
        <f>IF('3. Basic Input &amp; Assumptions'!$D$6="No",0,D28*E28)</f>
        <v>0</v>
      </c>
      <c r="G28" s="156" t="s">
        <v>113</v>
      </c>
    </row>
    <row r="29" spans="2:7" ht="26.5">
      <c r="B29" s="50" t="s">
        <v>119</v>
      </c>
      <c r="C29" s="159"/>
      <c r="D29" s="44"/>
      <c r="E29" s="53"/>
      <c r="F29" s="167">
        <f>IF('3. Basic Input &amp; Assumptions'!$D$6="No",0,D29*E29)</f>
        <v>0</v>
      </c>
      <c r="G29" s="156" t="s">
        <v>104</v>
      </c>
    </row>
    <row r="30" spans="2:7" ht="15.5">
      <c r="B30" s="50" t="s">
        <v>62</v>
      </c>
      <c r="C30" s="159"/>
      <c r="D30" s="44"/>
      <c r="E30" s="53"/>
      <c r="F30" s="167">
        <f>IF('3. Basic Input &amp; Assumptions'!$D$6="No",0,D30*E30)</f>
        <v>0</v>
      </c>
      <c r="G30" s="156" t="s">
        <v>105</v>
      </c>
    </row>
    <row r="31" spans="2:7" ht="26.5">
      <c r="B31" s="50" t="s">
        <v>65</v>
      </c>
      <c r="C31" s="159"/>
      <c r="D31" s="44"/>
      <c r="E31" s="53"/>
      <c r="F31" s="167">
        <f>IF('3. Basic Input &amp; Assumptions'!$D$6="No",0,D31*E31)</f>
        <v>0</v>
      </c>
      <c r="G31" s="156" t="s">
        <v>106</v>
      </c>
    </row>
    <row r="32" spans="2:7" ht="15" customHeight="1">
      <c r="B32" s="106" t="s">
        <v>135</v>
      </c>
      <c r="C32" s="158"/>
      <c r="D32" s="39"/>
      <c r="E32" s="39"/>
      <c r="F32" s="39"/>
      <c r="G32" s="155"/>
    </row>
    <row r="33" spans="2:7" ht="15" customHeight="1">
      <c r="B33" s="50" t="s">
        <v>174</v>
      </c>
      <c r="C33" s="159" t="s">
        <v>99</v>
      </c>
      <c r="D33" s="44"/>
      <c r="E33" s="53"/>
      <c r="F33" s="167">
        <f>IF('3. Basic Input &amp; Assumptions'!$D$6="No",0,D33*E33)</f>
        <v>0</v>
      </c>
      <c r="G33" s="156" t="s">
        <v>125</v>
      </c>
    </row>
    <row r="34" spans="2:7" ht="15" customHeight="1">
      <c r="B34" s="50" t="s">
        <v>107</v>
      </c>
      <c r="C34" s="159" t="s">
        <v>99</v>
      </c>
      <c r="D34" s="44"/>
      <c r="E34" s="53"/>
      <c r="F34" s="167">
        <f>IF('3. Basic Input &amp; Assumptions'!$D$6="No",0,D34*E34)</f>
        <v>0</v>
      </c>
      <c r="G34" s="156" t="s">
        <v>126</v>
      </c>
    </row>
    <row r="35" spans="2:7" ht="15" customHeight="1">
      <c r="B35" s="50" t="s">
        <v>178</v>
      </c>
      <c r="C35" s="159"/>
      <c r="D35" s="44">
        <v>500</v>
      </c>
      <c r="E35" s="53">
        <v>1</v>
      </c>
      <c r="F35" s="167">
        <f>IF('3. Basic Input &amp; Assumptions'!$D$6="No",0,D35*E35)</f>
        <v>500</v>
      </c>
      <c r="G35" s="156" t="s">
        <v>145</v>
      </c>
    </row>
    <row r="36" spans="2:7" ht="15" customHeight="1">
      <c r="B36" s="50" t="s">
        <v>143</v>
      </c>
      <c r="C36" s="159"/>
      <c r="D36" s="44"/>
      <c r="E36" s="53"/>
      <c r="F36" s="167">
        <f>IF('3. Basic Input &amp; Assumptions'!$D$6="No",0,D36*E36)</f>
        <v>0</v>
      </c>
      <c r="G36" s="156" t="s">
        <v>144</v>
      </c>
    </row>
    <row r="37" spans="2:7" ht="29.5" customHeight="1">
      <c r="B37" s="50" t="s">
        <v>175</v>
      </c>
      <c r="C37" s="159"/>
      <c r="D37" s="44">
        <v>500</v>
      </c>
      <c r="E37" s="53">
        <v>1</v>
      </c>
      <c r="F37" s="167">
        <f>SUM(D37*E37)</f>
        <v>500</v>
      </c>
      <c r="G37" s="156"/>
    </row>
    <row r="38" spans="2:7" ht="34" customHeight="1">
      <c r="B38" s="50" t="s">
        <v>108</v>
      </c>
      <c r="C38" s="159"/>
      <c r="D38" s="44"/>
      <c r="E38" s="53"/>
      <c r="F38" s="167">
        <f>IF('3. Basic Input &amp; Assumptions'!$D$6="No",0,D38*E38)</f>
        <v>0</v>
      </c>
      <c r="G38" s="208" t="s">
        <v>109</v>
      </c>
    </row>
    <row r="39" spans="2:7" ht="39.5">
      <c r="B39" s="50" t="s">
        <v>110</v>
      </c>
      <c r="C39" s="159"/>
      <c r="D39" s="44">
        <v>300</v>
      </c>
      <c r="E39" s="53">
        <v>1</v>
      </c>
      <c r="F39" s="167">
        <f>IF('3. Basic Input &amp; Assumptions'!$D$6="No",0,D39*E39)</f>
        <v>300</v>
      </c>
      <c r="G39" s="156" t="s">
        <v>127</v>
      </c>
    </row>
    <row r="40" spans="2:7" ht="26.5">
      <c r="B40" s="50" t="s">
        <v>111</v>
      </c>
      <c r="C40" s="159"/>
      <c r="D40" s="44"/>
      <c r="E40" s="53"/>
      <c r="F40" s="167">
        <f>IF('3. Basic Input &amp; Assumptions'!$D$6="No",0,D40*E40)</f>
        <v>0</v>
      </c>
      <c r="G40" s="156" t="s">
        <v>128</v>
      </c>
    </row>
    <row r="41" spans="2:7" ht="39.5">
      <c r="B41" s="50" t="s">
        <v>116</v>
      </c>
      <c r="C41" s="159"/>
      <c r="D41" s="44"/>
      <c r="E41" s="53"/>
      <c r="F41" s="167">
        <f>IF('3. Basic Input &amp; Assumptions'!$D$6="No",0,D41*E41)</f>
        <v>0</v>
      </c>
      <c r="G41" s="156" t="s">
        <v>373</v>
      </c>
    </row>
    <row r="42" spans="2:7" ht="39.5">
      <c r="B42" s="50" t="s">
        <v>123</v>
      </c>
      <c r="C42" s="159"/>
      <c r="D42" s="44">
        <v>3000</v>
      </c>
      <c r="E42" s="53">
        <v>1</v>
      </c>
      <c r="F42" s="167">
        <f>IF('3. Basic Input &amp; Assumptions'!$D$6="No",0,D42*E42)</f>
        <v>3000</v>
      </c>
      <c r="G42" s="156" t="s">
        <v>374</v>
      </c>
    </row>
    <row r="43" spans="2:7" ht="15" customHeight="1">
      <c r="B43" s="50" t="s">
        <v>172</v>
      </c>
      <c r="C43" s="159"/>
      <c r="D43" s="44"/>
      <c r="E43" s="53"/>
      <c r="F43" s="167">
        <f>IF('3. Basic Input &amp; Assumptions'!$D$6="No",0,D43*E43)</f>
        <v>0</v>
      </c>
      <c r="G43" s="156"/>
    </row>
    <row r="44" spans="2:7" ht="15" customHeight="1">
      <c r="B44" s="50" t="s">
        <v>173</v>
      </c>
      <c r="C44" s="159"/>
      <c r="D44" s="44">
        <v>1200</v>
      </c>
      <c r="E44" s="53">
        <v>1</v>
      </c>
      <c r="F44" s="167">
        <f>IF('3. Basic Input &amp; Assumptions'!$D$6="No",0,D44*E44)</f>
        <v>1200</v>
      </c>
      <c r="G44" s="156"/>
    </row>
    <row r="45" spans="2:7" ht="15.5">
      <c r="B45" s="50" t="s">
        <v>176</v>
      </c>
      <c r="C45" s="159"/>
      <c r="D45" s="44">
        <v>1500</v>
      </c>
      <c r="E45" s="53">
        <v>1</v>
      </c>
      <c r="F45" s="167">
        <f>SUM(D45*E45)</f>
        <v>1500</v>
      </c>
      <c r="G45" s="156"/>
    </row>
    <row r="46" spans="2:7" ht="15" customHeight="1">
      <c r="B46" s="50" t="s">
        <v>177</v>
      </c>
      <c r="C46" s="159"/>
      <c r="D46" s="44">
        <v>2500</v>
      </c>
      <c r="E46" s="53">
        <v>2</v>
      </c>
      <c r="F46" s="167">
        <f>SUM(D46*E46)</f>
        <v>5000</v>
      </c>
      <c r="G46" s="156"/>
    </row>
    <row r="47" spans="2:7" ht="15" customHeight="1">
      <c r="B47" s="221" t="s">
        <v>240</v>
      </c>
      <c r="C47" s="159"/>
      <c r="D47" s="44">
        <v>30000</v>
      </c>
      <c r="E47" s="53"/>
      <c r="F47" s="167">
        <f>SUM(D47)</f>
        <v>30000</v>
      </c>
      <c r="G47" s="156"/>
    </row>
    <row r="48" spans="2:7" ht="15" customHeight="1">
      <c r="B48" s="50" t="s">
        <v>181</v>
      </c>
      <c r="C48" s="159"/>
      <c r="D48" s="44">
        <v>1400</v>
      </c>
      <c r="E48" s="53">
        <v>1</v>
      </c>
      <c r="F48" s="167">
        <f>SUM(D48*E48)</f>
        <v>1400</v>
      </c>
      <c r="G48" s="156"/>
    </row>
    <row r="49" spans="2:9" ht="15" customHeight="1">
      <c r="B49" s="50" t="s">
        <v>129</v>
      </c>
      <c r="C49" s="159"/>
      <c r="D49" s="44"/>
      <c r="E49" s="53"/>
      <c r="F49" s="167">
        <f>IF('3. Basic Input &amp; Assumptions'!$D$6="No",0,D49*E49)</f>
        <v>0</v>
      </c>
      <c r="G49" s="156"/>
    </row>
    <row r="50" spans="2:9" ht="15" customHeight="1">
      <c r="B50" s="47" t="s">
        <v>140</v>
      </c>
      <c r="C50" s="160"/>
      <c r="D50" s="161"/>
      <c r="E50" s="161"/>
      <c r="F50" s="172">
        <f>SUM(F24:F49)</f>
        <v>54400</v>
      </c>
      <c r="G50" s="173"/>
    </row>
    <row r="51" spans="2:9" ht="15" customHeight="1">
      <c r="B51" s="174" t="s">
        <v>139</v>
      </c>
      <c r="C51" s="101"/>
      <c r="D51" s="101"/>
      <c r="E51" s="101"/>
      <c r="F51" s="175">
        <f>SUM(F21,F50)</f>
        <v>58900</v>
      </c>
      <c r="G51" s="176"/>
    </row>
    <row r="53" spans="2:9">
      <c r="B53" s="188" t="s">
        <v>339</v>
      </c>
    </row>
    <row r="54" spans="2:9" ht="15" thickBot="1"/>
    <row r="55" spans="2:9" ht="15" thickBot="1">
      <c r="B55" s="241" t="s">
        <v>241</v>
      </c>
      <c r="C55" s="242" t="s">
        <v>242</v>
      </c>
      <c r="D55" s="242" t="s">
        <v>243</v>
      </c>
      <c r="F55" s="394"/>
      <c r="G55" s="311" t="s">
        <v>382</v>
      </c>
      <c r="H55" s="242" t="s">
        <v>242</v>
      </c>
      <c r="I55" s="242" t="s">
        <v>243</v>
      </c>
    </row>
    <row r="56" spans="2:9" ht="16" thickBot="1">
      <c r="B56" s="310" t="s">
        <v>244</v>
      </c>
      <c r="C56" s="243" t="s">
        <v>245</v>
      </c>
      <c r="D56" s="243" t="s">
        <v>246</v>
      </c>
      <c r="F56" s="394"/>
      <c r="G56" s="312" t="s">
        <v>384</v>
      </c>
      <c r="H56" s="243"/>
      <c r="I56" s="243"/>
    </row>
    <row r="57" spans="2:9" ht="16" thickBot="1">
      <c r="B57" s="310" t="s">
        <v>247</v>
      </c>
      <c r="C57" s="243" t="s">
        <v>248</v>
      </c>
      <c r="D57" s="243" t="s">
        <v>249</v>
      </c>
      <c r="F57" s="394"/>
      <c r="G57" s="312" t="s">
        <v>385</v>
      </c>
      <c r="H57" s="243"/>
      <c r="I57" s="243"/>
    </row>
    <row r="58" spans="2:9" ht="31.5" thickBot="1">
      <c r="B58" s="310" t="s">
        <v>250</v>
      </c>
      <c r="C58" s="243" t="s">
        <v>251</v>
      </c>
      <c r="D58" s="243" t="s">
        <v>246</v>
      </c>
      <c r="F58" s="394"/>
      <c r="G58" s="312" t="s">
        <v>386</v>
      </c>
      <c r="H58" s="243"/>
      <c r="I58" s="243"/>
    </row>
    <row r="59" spans="2:9" ht="16" thickBot="1">
      <c r="B59" s="310" t="s">
        <v>252</v>
      </c>
      <c r="C59" s="243" t="s">
        <v>253</v>
      </c>
      <c r="D59" s="243" t="s">
        <v>254</v>
      </c>
      <c r="F59" s="394"/>
      <c r="G59" s="312" t="s">
        <v>387</v>
      </c>
      <c r="H59" s="243"/>
      <c r="I59" s="243"/>
    </row>
    <row r="60" spans="2:9" ht="16" thickBot="1">
      <c r="B60" s="310" t="s">
        <v>255</v>
      </c>
      <c r="C60" s="244" t="s">
        <v>256</v>
      </c>
      <c r="D60" s="243" t="s">
        <v>257</v>
      </c>
      <c r="F60" s="394"/>
      <c r="G60" s="312" t="s">
        <v>388</v>
      </c>
      <c r="H60" s="244"/>
      <c r="I60" s="243"/>
    </row>
    <row r="61" spans="2:9" ht="16" thickBot="1">
      <c r="B61" s="310" t="s">
        <v>258</v>
      </c>
      <c r="C61" s="244" t="s">
        <v>259</v>
      </c>
      <c r="D61" s="243" t="s">
        <v>257</v>
      </c>
      <c r="F61" s="394"/>
      <c r="G61" s="312" t="s">
        <v>389</v>
      </c>
      <c r="H61" s="244"/>
      <c r="I61" s="243"/>
    </row>
    <row r="62" spans="2:9" ht="16" thickBot="1">
      <c r="B62" s="310" t="s">
        <v>260</v>
      </c>
      <c r="C62" s="243" t="s">
        <v>261</v>
      </c>
      <c r="D62" s="243" t="s">
        <v>262</v>
      </c>
      <c r="F62" s="394"/>
      <c r="G62" s="312" t="s">
        <v>390</v>
      </c>
      <c r="H62" s="243"/>
      <c r="I62" s="243"/>
    </row>
    <row r="63" spans="2:9" ht="16" thickBot="1">
      <c r="B63" s="310" t="s">
        <v>263</v>
      </c>
      <c r="C63" s="243" t="s">
        <v>261</v>
      </c>
      <c r="D63" s="243" t="s">
        <v>264</v>
      </c>
      <c r="F63" s="394"/>
      <c r="G63" s="312" t="s">
        <v>391</v>
      </c>
      <c r="H63" s="243"/>
      <c r="I63" s="243"/>
    </row>
    <row r="64" spans="2:9" ht="16" thickBot="1">
      <c r="B64" s="310" t="s">
        <v>265</v>
      </c>
      <c r="C64" s="243" t="s">
        <v>266</v>
      </c>
      <c r="D64" s="243" t="s">
        <v>264</v>
      </c>
      <c r="F64" s="394"/>
      <c r="G64" s="312" t="s">
        <v>392</v>
      </c>
      <c r="H64" s="243"/>
      <c r="I64" s="243"/>
    </row>
    <row r="65" spans="2:9" ht="16" thickBot="1">
      <c r="B65" s="310" t="s">
        <v>267</v>
      </c>
      <c r="C65" s="243" t="s">
        <v>268</v>
      </c>
      <c r="D65" s="243" t="s">
        <v>249</v>
      </c>
      <c r="F65" s="394"/>
      <c r="G65" s="312" t="s">
        <v>393</v>
      </c>
      <c r="H65" s="243"/>
      <c r="I65" s="243"/>
    </row>
    <row r="66" spans="2:9" ht="16" thickBot="1">
      <c r="B66" s="310" t="s">
        <v>269</v>
      </c>
      <c r="C66" s="243" t="s">
        <v>270</v>
      </c>
      <c r="D66" s="243" t="s">
        <v>262</v>
      </c>
      <c r="F66" s="394"/>
      <c r="G66" s="312" t="s">
        <v>394</v>
      </c>
      <c r="H66" s="243"/>
      <c r="I66" s="243"/>
    </row>
    <row r="67" spans="2:9" ht="16" thickBot="1">
      <c r="B67" s="310" t="s">
        <v>271</v>
      </c>
      <c r="C67" s="243" t="s">
        <v>272</v>
      </c>
      <c r="D67" s="243" t="s">
        <v>273</v>
      </c>
      <c r="F67" s="394"/>
      <c r="G67" s="312" t="s">
        <v>395</v>
      </c>
      <c r="H67" s="243"/>
      <c r="I67" s="243"/>
    </row>
    <row r="68" spans="2:9" ht="16" thickBot="1">
      <c r="B68" s="310" t="s">
        <v>274</v>
      </c>
      <c r="C68" s="243" t="s">
        <v>275</v>
      </c>
      <c r="D68" s="243" t="s">
        <v>276</v>
      </c>
      <c r="F68" s="394"/>
      <c r="G68" s="312" t="s">
        <v>396</v>
      </c>
      <c r="H68" s="243"/>
      <c r="I68" s="243"/>
    </row>
    <row r="69" spans="2:9" ht="16" thickBot="1">
      <c r="B69" s="310" t="s">
        <v>277</v>
      </c>
      <c r="C69" s="243" t="s">
        <v>278</v>
      </c>
      <c r="D69" s="243" t="s">
        <v>279</v>
      </c>
      <c r="F69" s="394"/>
      <c r="G69" s="312" t="s">
        <v>397</v>
      </c>
      <c r="H69" s="243"/>
      <c r="I69" s="243"/>
    </row>
    <row r="70" spans="2:9" ht="16" thickBot="1">
      <c r="B70" s="310" t="s">
        <v>280</v>
      </c>
      <c r="C70" s="243" t="s">
        <v>281</v>
      </c>
      <c r="D70" s="243" t="s">
        <v>276</v>
      </c>
      <c r="F70" s="394"/>
      <c r="G70" s="312" t="s">
        <v>398</v>
      </c>
      <c r="H70" s="243"/>
      <c r="I70" s="243"/>
    </row>
    <row r="71" spans="2:9" ht="16" thickBot="1">
      <c r="B71" s="310" t="s">
        <v>282</v>
      </c>
      <c r="C71" s="243" t="s">
        <v>283</v>
      </c>
      <c r="D71" s="243" t="s">
        <v>246</v>
      </c>
      <c r="F71" s="394"/>
      <c r="G71" s="312" t="s">
        <v>399</v>
      </c>
      <c r="H71" s="243"/>
      <c r="I71" s="243"/>
    </row>
    <row r="72" spans="2:9" ht="16" thickBot="1">
      <c r="B72" s="310" t="s">
        <v>284</v>
      </c>
      <c r="C72" s="243" t="s">
        <v>285</v>
      </c>
      <c r="D72" s="243" t="s">
        <v>262</v>
      </c>
      <c r="F72" s="394"/>
      <c r="G72" s="312" t="s">
        <v>409</v>
      </c>
      <c r="H72" s="243"/>
      <c r="I72" s="243"/>
    </row>
    <row r="73" spans="2:9" ht="16" thickBot="1">
      <c r="B73" s="310" t="s">
        <v>286</v>
      </c>
      <c r="C73" s="243" t="s">
        <v>270</v>
      </c>
      <c r="D73" s="243" t="s">
        <v>246</v>
      </c>
      <c r="F73" s="394"/>
      <c r="G73" s="312" t="s">
        <v>410</v>
      </c>
      <c r="H73" s="243"/>
      <c r="I73" s="243"/>
    </row>
    <row r="74" spans="2:9" ht="16" thickBot="1">
      <c r="B74" s="310" t="s">
        <v>287</v>
      </c>
      <c r="C74" s="243" t="s">
        <v>288</v>
      </c>
      <c r="D74" s="243" t="s">
        <v>289</v>
      </c>
      <c r="F74" s="394"/>
      <c r="G74" s="312" t="s">
        <v>400</v>
      </c>
      <c r="H74" s="243"/>
      <c r="I74" s="243"/>
    </row>
    <row r="75" spans="2:9" ht="16" thickBot="1">
      <c r="B75" s="310" t="s">
        <v>290</v>
      </c>
      <c r="C75" s="243" t="s">
        <v>291</v>
      </c>
      <c r="D75" s="243" t="s">
        <v>262</v>
      </c>
      <c r="F75" s="394"/>
      <c r="G75" s="312" t="s">
        <v>401</v>
      </c>
      <c r="H75" s="243"/>
      <c r="I75" s="243"/>
    </row>
    <row r="76" spans="2:9" ht="16" thickBot="1">
      <c r="B76" s="310" t="s">
        <v>292</v>
      </c>
      <c r="C76" s="243" t="s">
        <v>281</v>
      </c>
      <c r="D76" s="243" t="s">
        <v>276</v>
      </c>
      <c r="F76" s="394"/>
      <c r="G76" s="312" t="s">
        <v>402</v>
      </c>
      <c r="H76" s="243"/>
      <c r="I76" s="243"/>
    </row>
    <row r="77" spans="2:9" ht="16" thickBot="1">
      <c r="B77" s="310" t="s">
        <v>293</v>
      </c>
      <c r="C77" s="243" t="s">
        <v>294</v>
      </c>
      <c r="D77" s="243" t="s">
        <v>249</v>
      </c>
      <c r="F77" s="394"/>
      <c r="G77" s="312" t="s">
        <v>403</v>
      </c>
      <c r="H77" s="243"/>
      <c r="I77" s="243"/>
    </row>
    <row r="78" spans="2:9" ht="16" thickBot="1">
      <c r="B78" s="310" t="s">
        <v>295</v>
      </c>
      <c r="C78" s="243" t="s">
        <v>296</v>
      </c>
      <c r="D78" s="243" t="s">
        <v>273</v>
      </c>
      <c r="F78" s="394"/>
      <c r="G78" s="312" t="s">
        <v>404</v>
      </c>
      <c r="H78" s="243"/>
      <c r="I78" s="243"/>
    </row>
    <row r="79" spans="2:9" ht="16" thickBot="1">
      <c r="B79" s="310" t="s">
        <v>297</v>
      </c>
      <c r="C79" s="245" t="s">
        <v>298</v>
      </c>
      <c r="D79" s="243" t="s">
        <v>262</v>
      </c>
      <c r="F79" s="394"/>
      <c r="G79" s="312" t="s">
        <v>405</v>
      </c>
      <c r="H79" s="245"/>
      <c r="I79" s="243"/>
    </row>
    <row r="80" spans="2:9" ht="16" thickBot="1">
      <c r="B80" s="310" t="s">
        <v>299</v>
      </c>
      <c r="C80" s="243" t="s">
        <v>281</v>
      </c>
      <c r="D80" s="245" t="s">
        <v>300</v>
      </c>
      <c r="F80" s="394"/>
      <c r="G80" s="312" t="s">
        <v>406</v>
      </c>
      <c r="H80" s="243"/>
      <c r="I80" s="245"/>
    </row>
    <row r="81" spans="2:9" ht="16" thickBot="1">
      <c r="B81" s="310" t="s">
        <v>301</v>
      </c>
      <c r="C81" s="243" t="s">
        <v>302</v>
      </c>
      <c r="D81" s="243" t="s">
        <v>262</v>
      </c>
      <c r="F81" s="394"/>
      <c r="G81" s="312" t="s">
        <v>407</v>
      </c>
      <c r="H81" s="243"/>
      <c r="I81" s="243"/>
    </row>
    <row r="82" spans="2:9" ht="16" thickBot="1">
      <c r="B82" s="310" t="s">
        <v>303</v>
      </c>
      <c r="C82" s="243" t="s">
        <v>281</v>
      </c>
      <c r="D82" s="243" t="s">
        <v>304</v>
      </c>
      <c r="F82" s="394"/>
      <c r="G82" s="312" t="s">
        <v>408</v>
      </c>
      <c r="H82" s="243"/>
      <c r="I82" s="243"/>
    </row>
    <row r="83" spans="2:9" ht="31.5" thickBot="1">
      <c r="B83" s="310" t="s">
        <v>305</v>
      </c>
      <c r="C83" s="243" t="s">
        <v>306</v>
      </c>
      <c r="D83" s="243" t="s">
        <v>254</v>
      </c>
      <c r="F83" s="394"/>
      <c r="G83" s="312" t="s">
        <v>422</v>
      </c>
      <c r="H83" s="243"/>
      <c r="I83" s="243"/>
    </row>
    <row r="84" spans="2:9" ht="16" thickBot="1">
      <c r="B84" s="310" t="s">
        <v>307</v>
      </c>
      <c r="C84" s="243" t="s">
        <v>281</v>
      </c>
      <c r="D84" s="243" t="s">
        <v>273</v>
      </c>
      <c r="F84" s="394"/>
      <c r="G84" s="312" t="s">
        <v>423</v>
      </c>
      <c r="H84" s="243"/>
      <c r="I84" s="243"/>
    </row>
    <row r="85" spans="2:9" ht="16" thickBot="1">
      <c r="B85" s="310" t="s">
        <v>308</v>
      </c>
      <c r="C85" s="243" t="s">
        <v>309</v>
      </c>
      <c r="D85" s="243" t="s">
        <v>249</v>
      </c>
      <c r="F85" s="394"/>
      <c r="G85" s="312"/>
      <c r="H85" s="243"/>
      <c r="I85" s="243"/>
    </row>
    <row r="86" spans="2:9" ht="16" thickBot="1">
      <c r="B86" s="310" t="s">
        <v>310</v>
      </c>
      <c r="C86" s="243" t="s">
        <v>311</v>
      </c>
      <c r="D86" s="243" t="s">
        <v>262</v>
      </c>
      <c r="F86" s="394"/>
      <c r="G86" s="312"/>
      <c r="H86" s="243"/>
      <c r="I86" s="243"/>
    </row>
    <row r="87" spans="2:9" ht="16" thickBot="1">
      <c r="B87" s="310" t="s">
        <v>312</v>
      </c>
      <c r="C87" s="243" t="s">
        <v>281</v>
      </c>
      <c r="D87" s="243" t="s">
        <v>313</v>
      </c>
      <c r="F87" s="394"/>
      <c r="G87" s="312"/>
      <c r="H87" s="243"/>
      <c r="I87" s="243"/>
    </row>
    <row r="88" spans="2:9" ht="16" thickBot="1">
      <c r="B88" s="310" t="s">
        <v>314</v>
      </c>
      <c r="C88" s="245" t="s">
        <v>315</v>
      </c>
      <c r="D88" s="243" t="s">
        <v>316</v>
      </c>
      <c r="F88" s="394"/>
      <c r="G88" s="312"/>
      <c r="H88" s="245"/>
      <c r="I88" s="245" t="s">
        <v>383</v>
      </c>
    </row>
    <row r="89" spans="2:9">
      <c r="F89" s="394"/>
      <c r="H89" s="188" t="s">
        <v>16</v>
      </c>
      <c r="I89" s="188">
        <f>SUM(I56:I88)</f>
        <v>0</v>
      </c>
    </row>
  </sheetData>
  <mergeCells count="5">
    <mergeCell ref="B2:G2"/>
    <mergeCell ref="B6:G6"/>
    <mergeCell ref="B4:G5"/>
    <mergeCell ref="B3:G3"/>
    <mergeCell ref="F55:F89"/>
  </mergeCells>
  <pageMargins left="0.7" right="0.7" top="0.75" bottom="0.75" header="0.3" footer="0.3"/>
  <pageSetup orientation="portrait" r:id="rId1"/>
  <ignoredErrors>
    <ignoredError sqref="F22:F23 F50" unlockedFormula="1"/>
  </ignoredErrors>
  <extLst>
    <ext xmlns:x14="http://schemas.microsoft.com/office/spreadsheetml/2009/9/main" uri="{78C0D931-6437-407d-A8EE-F0AAD7539E65}">
      <x14:conditionalFormattings>
        <x14:conditionalFormatting xmlns:xm="http://schemas.microsoft.com/office/excel/2006/main">
          <x14:cfRule type="expression" priority="30" id="{B3A35096-8E00-4CBB-88A6-978141CF798D}">
            <xm:f>'3. Basic Input &amp; Assumptions'!$D$6="No"</xm:f>
            <x14:dxf>
              <font>
                <color theme="0"/>
              </font>
              <fill>
                <patternFill>
                  <bgColor theme="2" tint="-0.499984740745262"/>
                </patternFill>
              </fill>
            </x14:dxf>
          </x14:cfRule>
          <xm:sqref>B3:G3</xm:sqref>
        </x14:conditionalFormatting>
        <x14:conditionalFormatting xmlns:xm="http://schemas.microsoft.com/office/excel/2006/main">
          <x14:cfRule type="expression" priority="1" id="{68CD1A49-99AF-44E0-BBD5-057AAFBF1DA0}">
            <xm:f>'3. Basic Input &amp; Assumptions'!$D$6="No"</xm:f>
            <x14:dxf>
              <font>
                <color theme="0"/>
              </font>
              <fill>
                <patternFill>
                  <bgColor theme="0"/>
                </patternFill>
              </fill>
              <border>
                <left/>
                <right/>
                <top/>
                <bottom/>
                <vertical/>
                <horizontal/>
              </border>
            </x14:dxf>
          </x14:cfRule>
          <xm:sqref>B4:G51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EF13EE4805EF4B92D8F2DB6C1D0EC1" ma:contentTypeVersion="15" ma:contentTypeDescription="Create a new document." ma:contentTypeScope="" ma:versionID="6946fba7092921faf0dc9fb0e478898f">
  <xsd:schema xmlns:xsd="http://www.w3.org/2001/XMLSchema" xmlns:xs="http://www.w3.org/2001/XMLSchema" xmlns:p="http://schemas.microsoft.com/office/2006/metadata/properties" xmlns:ns3="a2d323e1-ea69-4eb9-863b-b492eb84e9a7" xmlns:ns4="4aafa092-685c-4712-a15e-5d6b2b008815" targetNamespace="http://schemas.microsoft.com/office/2006/metadata/properties" ma:root="true" ma:fieldsID="45692bfc83b14b6c59f9b32c92f05352" ns3:_="" ns4:_="">
    <xsd:import namespace="a2d323e1-ea69-4eb9-863b-b492eb84e9a7"/>
    <xsd:import namespace="4aafa092-685c-4712-a15e-5d6b2b00881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d323e1-ea69-4eb9-863b-b492eb84e9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afa092-685c-4712-a15e-5d6b2b0088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a2d323e1-ea69-4eb9-863b-b492eb84e9a7" xsi:nil="true"/>
  </documentManagement>
</p:properties>
</file>

<file path=customXml/itemProps1.xml><?xml version="1.0" encoding="utf-8"?>
<ds:datastoreItem xmlns:ds="http://schemas.openxmlformats.org/officeDocument/2006/customXml" ds:itemID="{D63F3A4A-8264-41CA-A0C5-A4AB0FEFC682}">
  <ds:schemaRefs>
    <ds:schemaRef ds:uri="http://schemas.microsoft.com/sharepoint/v3/contenttype/forms"/>
  </ds:schemaRefs>
</ds:datastoreItem>
</file>

<file path=customXml/itemProps2.xml><?xml version="1.0" encoding="utf-8"?>
<ds:datastoreItem xmlns:ds="http://schemas.openxmlformats.org/officeDocument/2006/customXml" ds:itemID="{17371FB1-6DD7-4E87-8D96-FB50767B18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d323e1-ea69-4eb9-863b-b492eb84e9a7"/>
    <ds:schemaRef ds:uri="4aafa092-685c-4712-a15e-5d6b2b008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6211D5-C48D-4BEE-8362-24FF2A5773C5}">
  <ds:schemaRefs>
    <ds:schemaRef ds:uri="http://purl.org/dc/elements/1.1/"/>
    <ds:schemaRef ds:uri="http://purl.org/dc/terms/"/>
    <ds:schemaRef ds:uri="http://schemas.microsoft.com/office/infopath/2007/PartnerControls"/>
    <ds:schemaRef ds:uri="http://schemas.microsoft.com/office/2006/metadata/properties"/>
    <ds:schemaRef ds:uri="http://www.w3.org/XML/1998/namespace"/>
    <ds:schemaRef ds:uri="4aafa092-685c-4712-a15e-5d6b2b008815"/>
    <ds:schemaRef ds:uri="http://schemas.microsoft.com/office/2006/documentManagement/types"/>
    <ds:schemaRef ds:uri="http://schemas.openxmlformats.org/package/2006/metadata/core-properties"/>
    <ds:schemaRef ds:uri="a2d323e1-ea69-4eb9-863b-b492eb84e9a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About the Service BudgetTool</vt:lpstr>
      <vt:lpstr>2. Budget Summary Output</vt:lpstr>
      <vt:lpstr>3. Basic Input &amp; Assumptions</vt:lpstr>
      <vt:lpstr>4. Coordinated Care</vt:lpstr>
      <vt:lpstr>5. Coordinated Clinical</vt:lpstr>
      <vt:lpstr>6. Collaborative Clinical</vt:lpstr>
      <vt:lpstr>6. Integrated Clinical</vt:lpstr>
      <vt:lpstr>7. Comprehensive Clinical</vt:lpstr>
      <vt:lpstr>8. General Start Up Cost</vt:lpstr>
    </vt:vector>
  </TitlesOfParts>
  <Manager/>
  <Company>CorpSH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 Winter</dc:creator>
  <cp:keywords/>
  <dc:description/>
  <cp:lastModifiedBy>Caitlin Synovec</cp:lastModifiedBy>
  <cp:revision/>
  <dcterms:created xsi:type="dcterms:W3CDTF">2017-08-18T13:27:21Z</dcterms:created>
  <dcterms:modified xsi:type="dcterms:W3CDTF">2023-05-10T19:09:01Z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0x010100ECEF13EE4805EF4B92D8F2DB6C1D0EC1</vt:lpwstr>
  </property>
</Properties>
</file>